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4.xml" ContentType="application/vnd.openxmlformats-officedocument.spreadsheetml.comments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omments5.xml" ContentType="application/vnd.openxmlformats-officedocument.spreadsheetml.comments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600" yWindow="585" windowWidth="24105" windowHeight="15225" activeTab="2"/>
  </bookViews>
  <sheets>
    <sheet name="Spacecrafts" sheetId="1" r:id="rId1"/>
    <sheet name="Engines" sheetId="2" r:id="rId2"/>
    <sheet name="Antennas" sheetId="5" r:id="rId3"/>
    <sheet name="Orbits" sheetId="6" r:id="rId4"/>
    <sheet name="LifeSupport" sheetId="7" r:id="rId5"/>
    <sheet name="Resources" sheetId="8" r:id="rId6"/>
  </sheets>
  <definedNames>
    <definedName name="solver_adj" localSheetId="3" hidden="1">Orbits!$C$131</definedName>
    <definedName name="solver_cvg" localSheetId="3" hidden="1">0.0001</definedName>
    <definedName name="solver_drv" localSheetId="3" hidden="1">1</definedName>
    <definedName name="solver_eng" localSheetId="3" hidden="1">3</definedName>
    <definedName name="solver_est" localSheetId="3" hidden="1">1</definedName>
    <definedName name="solver_itr" localSheetId="3" hidden="1">2147483647</definedName>
    <definedName name="solver_lhs1" localSheetId="3" hidden="1">Orbits!$C$131</definedName>
    <definedName name="solver_lhs2" localSheetId="3" hidden="1">Orbits!$C$131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2</definedName>
    <definedName name="solver_nwt" localSheetId="3" hidden="1">1</definedName>
    <definedName name="solver_opt" localSheetId="3" hidden="1">Orbits!$AA$131</definedName>
    <definedName name="solver_pre" localSheetId="3" hidden="1">0.000001</definedName>
    <definedName name="solver_rbv" localSheetId="3" hidden="1">1</definedName>
    <definedName name="solver_rel1" localSheetId="3" hidden="1">1</definedName>
    <definedName name="solver_rel2" localSheetId="3" hidden="1">3</definedName>
    <definedName name="solver_rhs1" localSheetId="3" hidden="1">500</definedName>
    <definedName name="solver_rhs2" localSheetId="3" hidden="1">80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2</definedName>
    <definedName name="solver_val" localSheetId="3" hidden="1">0</definedName>
    <definedName name="solver_ver" localSheetId="3" hidden="1">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0" i="6" l="1"/>
  <c r="Q150" i="6" s="1"/>
  <c r="D149" i="6"/>
  <c r="B149" i="6"/>
  <c r="N150" i="6" l="1"/>
  <c r="P150" i="6"/>
  <c r="O150" i="6"/>
  <c r="M150" i="6"/>
  <c r="P149" i="6"/>
  <c r="M149" i="6"/>
  <c r="Q149" i="6"/>
  <c r="N149" i="6"/>
  <c r="O149" i="6"/>
  <c r="D148" i="6"/>
  <c r="B148" i="6"/>
  <c r="P148" i="6" l="1"/>
  <c r="M148" i="6"/>
  <c r="Q148" i="6"/>
  <c r="N148" i="6"/>
  <c r="O148" i="6"/>
  <c r="G1" i="1"/>
  <c r="F1" i="1"/>
  <c r="E1" i="1"/>
  <c r="J1" i="1"/>
  <c r="M3" i="5" l="1"/>
  <c r="B3" i="5" l="1"/>
  <c r="A3" i="5"/>
  <c r="F3" i="5" s="1"/>
  <c r="I3" i="5" l="1"/>
  <c r="H3" i="5"/>
  <c r="G3" i="5"/>
  <c r="E3" i="5"/>
  <c r="D3" i="5"/>
  <c r="C3" i="5"/>
  <c r="G2" i="2"/>
  <c r="G3" i="2"/>
  <c r="G4" i="2"/>
  <c r="H21" i="2"/>
  <c r="G21" i="2"/>
  <c r="H20" i="2"/>
  <c r="G20" i="2"/>
  <c r="H19" i="2"/>
  <c r="G19" i="2"/>
  <c r="H18" i="2"/>
  <c r="G18" i="2"/>
  <c r="H16" i="2"/>
  <c r="G16" i="2"/>
  <c r="H15" i="2"/>
  <c r="G15" i="2"/>
  <c r="H14" i="2"/>
  <c r="G14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4" i="2"/>
  <c r="H3" i="2"/>
  <c r="H2" i="2"/>
  <c r="H48" i="2"/>
  <c r="G48" i="2"/>
  <c r="H49" i="2"/>
  <c r="G49" i="2"/>
  <c r="H50" i="2"/>
  <c r="G50" i="2"/>
  <c r="H51" i="2"/>
  <c r="G51" i="2"/>
  <c r="H52" i="2"/>
  <c r="G52" i="2"/>
  <c r="H53" i="2"/>
  <c r="G53" i="2"/>
  <c r="H54" i="2"/>
  <c r="G54" i="2"/>
  <c r="H56" i="2"/>
  <c r="G56" i="2"/>
  <c r="H57" i="2"/>
  <c r="G57" i="2"/>
  <c r="H58" i="2"/>
  <c r="G58" i="2"/>
  <c r="H59" i="2"/>
  <c r="G59" i="2"/>
  <c r="H60" i="2"/>
  <c r="G60" i="2"/>
  <c r="H13" i="2"/>
  <c r="G13" i="2"/>
  <c r="H32" i="2"/>
  <c r="G32" i="2"/>
  <c r="H31" i="2"/>
  <c r="G31" i="2"/>
  <c r="H17" i="2"/>
  <c r="G17" i="2"/>
  <c r="I17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41" i="2"/>
  <c r="I42" i="2"/>
  <c r="I43" i="2"/>
  <c r="I44" i="2"/>
  <c r="I45" i="2"/>
  <c r="I46" i="2"/>
  <c r="I47" i="2"/>
  <c r="I39" i="2"/>
  <c r="I40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H5" i="2"/>
  <c r="G5" i="2"/>
  <c r="H129" i="2"/>
  <c r="G129" i="2"/>
  <c r="C129" i="2"/>
  <c r="H128" i="2"/>
  <c r="G128" i="2"/>
  <c r="C128" i="2"/>
  <c r="H127" i="2"/>
  <c r="G127" i="2"/>
  <c r="C127" i="2"/>
  <c r="H126" i="2"/>
  <c r="G126" i="2"/>
  <c r="C126" i="2"/>
  <c r="H125" i="2"/>
  <c r="G125" i="2"/>
  <c r="C125" i="2"/>
  <c r="H124" i="2"/>
  <c r="G124" i="2"/>
  <c r="C124" i="2"/>
  <c r="H123" i="2"/>
  <c r="G123" i="2"/>
  <c r="C123" i="2"/>
  <c r="H122" i="2"/>
  <c r="G122" i="2"/>
  <c r="C122" i="2"/>
  <c r="H121" i="2"/>
  <c r="G121" i="2"/>
  <c r="C121" i="2"/>
  <c r="H120" i="2"/>
  <c r="G120" i="2"/>
  <c r="C120" i="2"/>
  <c r="H119" i="2"/>
  <c r="G119" i="2"/>
  <c r="C119" i="2"/>
  <c r="H118" i="2"/>
  <c r="G118" i="2"/>
  <c r="C118" i="2"/>
  <c r="H117" i="2"/>
  <c r="G117" i="2"/>
  <c r="C117" i="2"/>
  <c r="H116" i="2"/>
  <c r="G116" i="2"/>
  <c r="C116" i="2"/>
  <c r="H114" i="2"/>
  <c r="G114" i="2"/>
  <c r="C114" i="2"/>
  <c r="H113" i="2"/>
  <c r="G113" i="2"/>
  <c r="C113" i="2"/>
  <c r="H115" i="2"/>
  <c r="G115" i="2"/>
  <c r="C115" i="2"/>
  <c r="H112" i="2"/>
  <c r="G112" i="2"/>
  <c r="H55" i="2"/>
  <c r="G55" i="2"/>
  <c r="G29" i="2"/>
  <c r="H29" i="2"/>
  <c r="G30" i="2"/>
  <c r="H30" i="2"/>
  <c r="G22" i="2"/>
  <c r="G23" i="2"/>
  <c r="G24" i="2"/>
  <c r="G25" i="2"/>
  <c r="G26" i="2"/>
  <c r="G27" i="2"/>
  <c r="H22" i="2"/>
  <c r="H23" i="2"/>
  <c r="H24" i="2"/>
  <c r="H25" i="2"/>
  <c r="H26" i="2"/>
  <c r="H27" i="2"/>
  <c r="H28" i="2"/>
  <c r="G28" i="2"/>
  <c r="C28" i="2"/>
  <c r="C29" i="2"/>
  <c r="H111" i="2"/>
  <c r="G111" i="2"/>
  <c r="C111" i="2"/>
  <c r="H110" i="2"/>
  <c r="G110" i="2"/>
  <c r="C110" i="2"/>
  <c r="H109" i="2"/>
  <c r="G109" i="2"/>
  <c r="C109" i="2"/>
  <c r="H108" i="2"/>
  <c r="G108" i="2"/>
  <c r="C108" i="2"/>
  <c r="H107" i="2"/>
  <c r="G107" i="2"/>
  <c r="C107" i="2"/>
  <c r="H106" i="2"/>
  <c r="G106" i="2"/>
  <c r="C106" i="2"/>
  <c r="H105" i="2"/>
  <c r="G105" i="2"/>
  <c r="C105" i="2"/>
  <c r="H104" i="2"/>
  <c r="G104" i="2"/>
  <c r="C104" i="2"/>
  <c r="H103" i="2"/>
  <c r="G103" i="2"/>
  <c r="C103" i="2"/>
  <c r="H102" i="2"/>
  <c r="G102" i="2"/>
  <c r="G101" i="2"/>
  <c r="H101" i="2"/>
  <c r="H100" i="2"/>
  <c r="G100" i="2"/>
  <c r="G97" i="2"/>
  <c r="H97" i="2"/>
  <c r="G98" i="2"/>
  <c r="H98" i="2"/>
  <c r="G99" i="2"/>
  <c r="H99" i="2"/>
  <c r="H96" i="2"/>
  <c r="G96" i="2"/>
  <c r="C60" i="2"/>
  <c r="C97" i="2"/>
  <c r="C98" i="2"/>
  <c r="C99" i="2"/>
  <c r="C100" i="2"/>
  <c r="C101" i="2"/>
  <c r="C102" i="2"/>
  <c r="C112" i="2"/>
  <c r="C59" i="2"/>
  <c r="H95" i="2"/>
  <c r="G95" i="2"/>
  <c r="G93" i="2"/>
  <c r="H93" i="2"/>
  <c r="H94" i="2"/>
  <c r="G94" i="2"/>
  <c r="G91" i="2"/>
  <c r="H91" i="2"/>
  <c r="G92" i="2"/>
  <c r="H92" i="2"/>
  <c r="H89" i="2"/>
  <c r="G89" i="2"/>
  <c r="H90" i="2"/>
  <c r="G90" i="2"/>
  <c r="C58" i="2"/>
  <c r="G88" i="2"/>
  <c r="H88" i="2"/>
  <c r="G87" i="2"/>
  <c r="H87" i="2"/>
  <c r="H86" i="2"/>
  <c r="H82" i="2"/>
  <c r="H85" i="2"/>
  <c r="H84" i="2"/>
  <c r="H83" i="2"/>
  <c r="H79" i="2"/>
  <c r="H78" i="2"/>
  <c r="H77" i="2"/>
  <c r="H81" i="2"/>
  <c r="H80" i="2"/>
  <c r="H76" i="2"/>
  <c r="H75" i="2"/>
  <c r="H62" i="2"/>
  <c r="H61" i="2"/>
  <c r="G62" i="2"/>
  <c r="G61" i="2"/>
  <c r="G86" i="2"/>
  <c r="G85" i="2"/>
  <c r="C56" i="2"/>
  <c r="C57" i="2"/>
  <c r="G84" i="2"/>
  <c r="G83" i="2"/>
  <c r="C89" i="2"/>
  <c r="C90" i="2"/>
  <c r="C91" i="2"/>
  <c r="C92" i="2"/>
  <c r="C94" i="2"/>
  <c r="C93" i="2"/>
  <c r="C95" i="2"/>
  <c r="C96" i="2"/>
  <c r="G82" i="2"/>
  <c r="G81" i="2"/>
  <c r="G80" i="2"/>
  <c r="G79" i="2"/>
  <c r="G78" i="2"/>
  <c r="G77" i="2"/>
  <c r="G76" i="2"/>
  <c r="G75" i="2"/>
  <c r="C55" i="2"/>
  <c r="C23" i="2"/>
  <c r="C24" i="2"/>
  <c r="H68" i="2"/>
  <c r="H69" i="2"/>
  <c r="H70" i="2"/>
  <c r="H71" i="2"/>
  <c r="H72" i="2"/>
  <c r="H73" i="2"/>
  <c r="G68" i="2"/>
  <c r="G69" i="2"/>
  <c r="G70" i="2"/>
  <c r="G71" i="2"/>
  <c r="G72" i="2"/>
  <c r="G73" i="2"/>
  <c r="H74" i="2"/>
  <c r="G74" i="2"/>
  <c r="C74" i="2"/>
  <c r="C40" i="2"/>
  <c r="C39" i="2"/>
  <c r="C38" i="2"/>
  <c r="C37" i="2"/>
  <c r="C36" i="2"/>
  <c r="H63" i="2"/>
  <c r="H64" i="2"/>
  <c r="G63" i="2"/>
  <c r="G64" i="2"/>
  <c r="H65" i="2"/>
  <c r="G65" i="2"/>
  <c r="J14" i="7" l="1"/>
  <c r="J13" i="7"/>
  <c r="J12" i="7"/>
  <c r="I14" i="7"/>
  <c r="I13" i="7"/>
  <c r="I12" i="7"/>
  <c r="J9" i="7"/>
  <c r="J8" i="7"/>
  <c r="J7" i="7"/>
  <c r="I9" i="7"/>
  <c r="I8" i="7"/>
  <c r="I7" i="7"/>
  <c r="J4" i="7"/>
  <c r="J3" i="7"/>
  <c r="J2" i="7"/>
  <c r="I4" i="7"/>
  <c r="I3" i="7"/>
  <c r="I2" i="7"/>
  <c r="D19" i="7"/>
  <c r="E14" i="7" s="1"/>
  <c r="E9" i="7" l="1"/>
  <c r="E3" i="7"/>
  <c r="E4" i="7"/>
  <c r="E12" i="7"/>
  <c r="E7" i="7"/>
  <c r="E13" i="7"/>
  <c r="E2" i="7"/>
  <c r="E8" i="7"/>
  <c r="H66" i="2"/>
  <c r="H67" i="2"/>
  <c r="G66" i="2"/>
  <c r="G67" i="2"/>
  <c r="C67" i="2"/>
  <c r="C66" i="2"/>
  <c r="C65" i="2"/>
  <c r="C64" i="2"/>
  <c r="C63" i="2"/>
  <c r="C62" i="2"/>
  <c r="C61" i="2"/>
  <c r="C54" i="2"/>
  <c r="C53" i="2"/>
  <c r="C52" i="2"/>
  <c r="C51" i="2"/>
  <c r="C50" i="2"/>
  <c r="C49" i="2"/>
  <c r="C48" i="2"/>
  <c r="C68" i="2"/>
  <c r="C69" i="2"/>
  <c r="C70" i="2"/>
  <c r="C71" i="2"/>
  <c r="C72" i="2"/>
  <c r="C73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95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94" i="6"/>
  <c r="N94" i="6"/>
  <c r="O94" i="6"/>
  <c r="E150" i="6" l="1"/>
  <c r="R150" i="6" s="1"/>
  <c r="G149" i="6"/>
  <c r="E149" i="6"/>
  <c r="R149" i="6" s="1"/>
  <c r="F150" i="6"/>
  <c r="S150" i="6" s="1"/>
  <c r="F149" i="6"/>
  <c r="S149" i="6" s="1"/>
  <c r="G150" i="6"/>
  <c r="G148" i="6"/>
  <c r="E148" i="6"/>
  <c r="R148" i="6" s="1"/>
  <c r="F148" i="6"/>
  <c r="S148" i="6" s="1"/>
  <c r="D147" i="6"/>
  <c r="N84" i="6"/>
  <c r="N85" i="6"/>
  <c r="N86" i="6"/>
  <c r="O84" i="6"/>
  <c r="O85" i="6"/>
  <c r="O86" i="6"/>
  <c r="N87" i="6"/>
  <c r="N88" i="6"/>
  <c r="N89" i="6"/>
  <c r="O87" i="6"/>
  <c r="O88" i="6"/>
  <c r="O89" i="6"/>
  <c r="N90" i="6"/>
  <c r="N91" i="6"/>
  <c r="N92" i="6"/>
  <c r="O90" i="6"/>
  <c r="O91" i="6"/>
  <c r="O92" i="6"/>
  <c r="N76" i="6"/>
  <c r="N80" i="6"/>
  <c r="N78" i="6"/>
  <c r="N83" i="6"/>
  <c r="O76" i="6"/>
  <c r="O80" i="6"/>
  <c r="O78" i="6"/>
  <c r="O83" i="6"/>
  <c r="N77" i="6"/>
  <c r="N81" i="6"/>
  <c r="N79" i="6"/>
  <c r="N82" i="6"/>
  <c r="O77" i="6"/>
  <c r="O81" i="6"/>
  <c r="O79" i="6"/>
  <c r="O82" i="6"/>
  <c r="N71" i="6"/>
  <c r="N72" i="6"/>
  <c r="N73" i="6"/>
  <c r="N74" i="6"/>
  <c r="O71" i="6"/>
  <c r="O72" i="6"/>
  <c r="O73" i="6"/>
  <c r="O74" i="6"/>
  <c r="N93" i="6"/>
  <c r="O93" i="6"/>
  <c r="N75" i="6"/>
  <c r="O75" i="6"/>
  <c r="N61" i="6"/>
  <c r="N62" i="6"/>
  <c r="N63" i="6"/>
  <c r="N64" i="6"/>
  <c r="N65" i="6"/>
  <c r="N66" i="6"/>
  <c r="N67" i="6"/>
  <c r="N68" i="6"/>
  <c r="N70" i="6"/>
  <c r="N69" i="6"/>
  <c r="O61" i="6"/>
  <c r="O62" i="6"/>
  <c r="O63" i="6"/>
  <c r="O64" i="6"/>
  <c r="O65" i="6"/>
  <c r="O66" i="6"/>
  <c r="O67" i="6"/>
  <c r="O68" i="6"/>
  <c r="O70" i="6"/>
  <c r="O69" i="6"/>
  <c r="L148" i="6" l="1"/>
  <c r="H148" i="6"/>
  <c r="I148" i="6"/>
  <c r="J148" i="6" s="1"/>
  <c r="K148" i="6" s="1"/>
  <c r="L150" i="6"/>
  <c r="H150" i="6"/>
  <c r="L149" i="6"/>
  <c r="H149" i="6"/>
  <c r="I149" i="6"/>
  <c r="J149" i="6" s="1"/>
  <c r="K149" i="6" s="1"/>
  <c r="D15" i="7"/>
  <c r="L14" i="7"/>
  <c r="K14" i="7"/>
  <c r="F14" i="7"/>
  <c r="M14" i="7" s="1"/>
  <c r="L13" i="7"/>
  <c r="K13" i="7"/>
  <c r="F13" i="7"/>
  <c r="M13" i="7" s="1"/>
  <c r="L12" i="7"/>
  <c r="K12" i="7"/>
  <c r="J15" i="7"/>
  <c r="I15" i="7"/>
  <c r="F12" i="7"/>
  <c r="D141" i="6"/>
  <c r="L15" i="7" l="1"/>
  <c r="K15" i="7"/>
  <c r="E15" i="7"/>
  <c r="H15" i="7" s="1"/>
  <c r="B15" i="7" s="1"/>
  <c r="F15" i="7"/>
  <c r="M12" i="7"/>
  <c r="M15" i="7" s="1"/>
  <c r="F9" i="7"/>
  <c r="M9" i="7" s="1"/>
  <c r="F8" i="7"/>
  <c r="M8" i="7" s="1"/>
  <c r="F7" i="7"/>
  <c r="M7" i="7" s="1"/>
  <c r="F3" i="7"/>
  <c r="M3" i="7" s="1"/>
  <c r="F4" i="7"/>
  <c r="M4" i="7" s="1"/>
  <c r="F2" i="7"/>
  <c r="M2" i="7" s="1"/>
  <c r="N13" i="7" l="1"/>
  <c r="N14" i="7"/>
  <c r="D10" i="7"/>
  <c r="L9" i="7"/>
  <c r="K9" i="7"/>
  <c r="L8" i="7"/>
  <c r="K8" i="7"/>
  <c r="L7" i="7"/>
  <c r="K7" i="7"/>
  <c r="K3" i="7"/>
  <c r="K4" i="7"/>
  <c r="K2" i="7"/>
  <c r="L3" i="7"/>
  <c r="L4" i="7"/>
  <c r="L2" i="7"/>
  <c r="D5" i="7"/>
  <c r="M10" i="7" l="1"/>
  <c r="M5" i="7"/>
  <c r="K10" i="7"/>
  <c r="L10" i="7"/>
  <c r="I10" i="7"/>
  <c r="F10" i="7"/>
  <c r="J10" i="7"/>
  <c r="E10" i="7"/>
  <c r="F5" i="7"/>
  <c r="K5" i="7"/>
  <c r="L5" i="7"/>
  <c r="I5" i="7"/>
  <c r="J5" i="7"/>
  <c r="E5" i="7"/>
  <c r="H10" i="7" l="1"/>
  <c r="H5" i="7"/>
  <c r="N9" i="7" l="1"/>
  <c r="N8" i="7"/>
  <c r="B10" i="7"/>
  <c r="B5" i="7"/>
  <c r="N3" i="7"/>
  <c r="N4" i="7"/>
  <c r="G35" i="2" l="1"/>
  <c r="C35" i="2"/>
  <c r="C34" i="2"/>
  <c r="G34" i="2"/>
  <c r="G33" i="2"/>
  <c r="C33" i="2"/>
  <c r="G33" i="5" l="1"/>
  <c r="H46" i="5" l="1"/>
  <c r="I46" i="5" s="1"/>
  <c r="H43" i="5"/>
  <c r="I43" i="5" s="1"/>
  <c r="H36" i="5"/>
  <c r="I36" i="5" s="1"/>
  <c r="H37" i="5"/>
  <c r="I37" i="5" s="1"/>
  <c r="H52" i="5"/>
  <c r="I52" i="5" s="1"/>
  <c r="H64" i="5"/>
  <c r="I64" i="5" s="1"/>
  <c r="H62" i="5"/>
  <c r="I62" i="5" s="1"/>
  <c r="H63" i="5"/>
  <c r="I63" i="5" s="1"/>
  <c r="H55" i="5"/>
  <c r="I55" i="5" s="1"/>
  <c r="H54" i="5"/>
  <c r="I54" i="5" s="1"/>
  <c r="H47" i="5"/>
  <c r="I47" i="5" s="1"/>
  <c r="H41" i="5"/>
  <c r="I41" i="5" s="1"/>
  <c r="H40" i="5"/>
  <c r="I40" i="5" s="1"/>
  <c r="H42" i="5"/>
  <c r="I42" i="5" s="1"/>
  <c r="H39" i="5"/>
  <c r="I39" i="5" s="1"/>
  <c r="H38" i="5"/>
  <c r="I38" i="5" s="1"/>
  <c r="H57" i="5"/>
  <c r="I57" i="5" s="1"/>
  <c r="H110" i="5"/>
  <c r="I110" i="5" s="1"/>
  <c r="H85" i="5"/>
  <c r="I85" i="5" s="1"/>
  <c r="H109" i="5"/>
  <c r="I109" i="5" s="1"/>
  <c r="H79" i="5"/>
  <c r="I79" i="5" s="1"/>
  <c r="H78" i="5"/>
  <c r="I78" i="5" s="1"/>
  <c r="H95" i="5"/>
  <c r="I95" i="5" s="1"/>
  <c r="H51" i="5"/>
  <c r="I51" i="5" s="1"/>
  <c r="H61" i="5"/>
  <c r="I61" i="5" s="1"/>
  <c r="H68" i="5"/>
  <c r="I68" i="5" s="1"/>
  <c r="H75" i="5"/>
  <c r="I75" i="5" s="1"/>
  <c r="H50" i="5"/>
  <c r="I50" i="5" s="1"/>
  <c r="H49" i="5"/>
  <c r="I49" i="5" s="1"/>
  <c r="H48" i="5"/>
  <c r="I48" i="5" s="1"/>
  <c r="H106" i="5"/>
  <c r="I106" i="5" s="1"/>
  <c r="H98" i="5"/>
  <c r="I98" i="5" s="1"/>
  <c r="H91" i="5"/>
  <c r="I91" i="5" s="1"/>
  <c r="Q25" i="1"/>
  <c r="O25" i="1"/>
  <c r="Q24" i="1"/>
  <c r="O24" i="1"/>
  <c r="Q23" i="1"/>
  <c r="O23" i="1"/>
  <c r="C23" i="1"/>
  <c r="S25" i="1" l="1"/>
  <c r="Q20" i="1" l="1"/>
  <c r="S20" i="1" s="1"/>
  <c r="O20" i="1"/>
  <c r="Q19" i="1"/>
  <c r="O19" i="1"/>
  <c r="Q18" i="1"/>
  <c r="O18" i="1"/>
  <c r="C18" i="1"/>
  <c r="D135" i="6" l="1"/>
  <c r="B134" i="6" l="1"/>
  <c r="P134" i="6" l="1"/>
  <c r="Q134" i="6"/>
  <c r="M134" i="6"/>
  <c r="E134" i="6"/>
  <c r="R134" i="6" s="1"/>
  <c r="N134" i="6"/>
  <c r="F134" i="6"/>
  <c r="S134" i="6" s="1"/>
  <c r="O134" i="6"/>
  <c r="G134" i="6"/>
  <c r="L134" i="6" s="1"/>
  <c r="B132" i="6"/>
  <c r="I134" i="6" l="1"/>
  <c r="J134" i="6" s="1"/>
  <c r="K134" i="6" s="1"/>
  <c r="H134" i="6"/>
  <c r="O132" i="6"/>
  <c r="Q132" i="6"/>
  <c r="P132" i="6"/>
  <c r="E132" i="6"/>
  <c r="R132" i="6" s="1"/>
  <c r="M132" i="6"/>
  <c r="F132" i="6"/>
  <c r="S132" i="6" s="1"/>
  <c r="N132" i="6"/>
  <c r="G132" i="6"/>
  <c r="B131" i="6"/>
  <c r="V131" i="6" l="1"/>
  <c r="Z131" i="6" s="1"/>
  <c r="Q131" i="6"/>
  <c r="I132" i="6"/>
  <c r="J132" i="6" s="1"/>
  <c r="L132" i="6"/>
  <c r="H132" i="6"/>
  <c r="F117" i="5"/>
  <c r="F118" i="5"/>
  <c r="F119" i="5"/>
  <c r="F116" i="5"/>
  <c r="H5" i="5" l="1"/>
  <c r="K132" i="6"/>
  <c r="B133" i="6"/>
  <c r="P133" i="6" l="1"/>
  <c r="Q133" i="6"/>
  <c r="N133" i="6"/>
  <c r="O133" i="6"/>
  <c r="E133" i="6"/>
  <c r="R133" i="6" s="1"/>
  <c r="M133" i="6"/>
  <c r="G133" i="6"/>
  <c r="F133" i="6"/>
  <c r="S133" i="6" s="1"/>
  <c r="I133" i="6" l="1"/>
  <c r="L133" i="6"/>
  <c r="H133" i="6"/>
  <c r="A12" i="5"/>
  <c r="A11" i="5"/>
  <c r="A10" i="5"/>
  <c r="A9" i="5"/>
  <c r="A8" i="5"/>
  <c r="A7" i="5"/>
  <c r="A6" i="5"/>
  <c r="A5" i="5"/>
  <c r="A31" i="5"/>
  <c r="A30" i="5"/>
  <c r="A29" i="5"/>
  <c r="A28" i="5"/>
  <c r="A27" i="5"/>
  <c r="A26" i="5"/>
  <c r="A25" i="5"/>
  <c r="A24" i="5"/>
  <c r="C15" i="5"/>
  <c r="A17" i="5" s="1"/>
  <c r="D15" i="5"/>
  <c r="A18" i="5" s="1"/>
  <c r="E15" i="5"/>
  <c r="A19" i="5" s="1"/>
  <c r="F15" i="5"/>
  <c r="A20" i="5" s="1"/>
  <c r="G15" i="5"/>
  <c r="A21" i="5" s="1"/>
  <c r="H15" i="5"/>
  <c r="A22" i="5" s="1"/>
  <c r="I15" i="5"/>
  <c r="A23" i="5" s="1"/>
  <c r="B15" i="5"/>
  <c r="A16" i="5" s="1"/>
  <c r="H35" i="5"/>
  <c r="C19" i="6"/>
  <c r="C20" i="6"/>
  <c r="C21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60" i="6"/>
  <c r="J133" i="6" l="1"/>
  <c r="K133" i="6" s="1"/>
  <c r="G9" i="5"/>
  <c r="G5" i="5"/>
  <c r="G12" i="5"/>
  <c r="M10" i="5"/>
  <c r="L10" i="5"/>
  <c r="K10" i="5"/>
  <c r="J10" i="5"/>
  <c r="G10" i="5"/>
  <c r="G8" i="5"/>
  <c r="G6" i="5"/>
  <c r="G11" i="5"/>
  <c r="D9" i="5"/>
  <c r="D8" i="5"/>
  <c r="D6" i="5"/>
  <c r="D10" i="5"/>
  <c r="M7" i="5"/>
  <c r="L7" i="5"/>
  <c r="K7" i="5"/>
  <c r="J7" i="5"/>
  <c r="D7" i="5"/>
  <c r="D11" i="5"/>
  <c r="D12" i="5"/>
  <c r="H9" i="5"/>
  <c r="H6" i="5"/>
  <c r="H8" i="5"/>
  <c r="H10" i="5"/>
  <c r="M11" i="5"/>
  <c r="L11" i="5"/>
  <c r="K11" i="5"/>
  <c r="J11" i="5"/>
  <c r="H11" i="5"/>
  <c r="H12" i="5"/>
  <c r="C8" i="5"/>
  <c r="C12" i="5"/>
  <c r="C11" i="5"/>
  <c r="M6" i="5"/>
  <c r="L6" i="5"/>
  <c r="K6" i="5"/>
  <c r="J6" i="5"/>
  <c r="C9" i="5"/>
  <c r="C5" i="5"/>
  <c r="C10" i="5"/>
  <c r="C6" i="5"/>
  <c r="E10" i="5"/>
  <c r="L8" i="5"/>
  <c r="E6" i="5"/>
  <c r="E11" i="5"/>
  <c r="K8" i="5"/>
  <c r="E5" i="5"/>
  <c r="E8" i="5"/>
  <c r="E12" i="5"/>
  <c r="M8" i="5"/>
  <c r="J8" i="5"/>
  <c r="E9" i="5"/>
  <c r="I6" i="5"/>
  <c r="I11" i="5"/>
  <c r="K12" i="5"/>
  <c r="I8" i="5"/>
  <c r="I12" i="5"/>
  <c r="M12" i="5"/>
  <c r="J12" i="5"/>
  <c r="I10" i="5"/>
  <c r="I9" i="5"/>
  <c r="I5" i="5"/>
  <c r="L12" i="5"/>
  <c r="M5" i="5"/>
  <c r="I150" i="6" s="1"/>
  <c r="L5" i="5"/>
  <c r="K5" i="5"/>
  <c r="J5" i="5"/>
  <c r="B9" i="5"/>
  <c r="B12" i="5"/>
  <c r="B10" i="5"/>
  <c r="B5" i="5"/>
  <c r="B6" i="5"/>
  <c r="B11" i="5"/>
  <c r="B8" i="5"/>
  <c r="M9" i="5"/>
  <c r="L9" i="5"/>
  <c r="K9" i="5"/>
  <c r="J9" i="5"/>
  <c r="F6" i="5"/>
  <c r="F11" i="5"/>
  <c r="F10" i="5"/>
  <c r="F8" i="5"/>
  <c r="F12" i="5"/>
  <c r="F9" i="5"/>
  <c r="F5" i="5"/>
  <c r="H7" i="5"/>
  <c r="D5" i="5"/>
  <c r="C7" i="5"/>
  <c r="B7" i="5"/>
  <c r="I7" i="5"/>
  <c r="G7" i="5"/>
  <c r="E7" i="5"/>
  <c r="F7" i="5"/>
  <c r="H100" i="5"/>
  <c r="I100" i="5" s="1"/>
  <c r="H92" i="5"/>
  <c r="I92" i="5" s="1"/>
  <c r="H81" i="5"/>
  <c r="I81" i="5" s="1"/>
  <c r="H105" i="5"/>
  <c r="I105" i="5" s="1"/>
  <c r="H96" i="5"/>
  <c r="I96" i="5" s="1"/>
  <c r="H72" i="5"/>
  <c r="I72" i="5" s="1"/>
  <c r="H94" i="5"/>
  <c r="I94" i="5" s="1"/>
  <c r="H87" i="5"/>
  <c r="I87" i="5" s="1"/>
  <c r="H89" i="5"/>
  <c r="I89" i="5" s="1"/>
  <c r="H74" i="5"/>
  <c r="I74" i="5" s="1"/>
  <c r="H45" i="5"/>
  <c r="I45" i="5" s="1"/>
  <c r="H69" i="5"/>
  <c r="I69" i="5" s="1"/>
  <c r="H56" i="5"/>
  <c r="I56" i="5" s="1"/>
  <c r="H66" i="5"/>
  <c r="I66" i="5" s="1"/>
  <c r="H99" i="5"/>
  <c r="I99" i="5" s="1"/>
  <c r="H65" i="5"/>
  <c r="I65" i="5" s="1"/>
  <c r="H76" i="5"/>
  <c r="I76" i="5" s="1"/>
  <c r="H104" i="5"/>
  <c r="I104" i="5" s="1"/>
  <c r="H93" i="5"/>
  <c r="I93" i="5" s="1"/>
  <c r="H102" i="5"/>
  <c r="I102" i="5" s="1"/>
  <c r="H58" i="5"/>
  <c r="I58" i="5" s="1"/>
  <c r="H82" i="5"/>
  <c r="I82" i="5" s="1"/>
  <c r="H73" i="5"/>
  <c r="I73" i="5" s="1"/>
  <c r="I35" i="5"/>
  <c r="H97" i="5"/>
  <c r="I97" i="5" s="1"/>
  <c r="H88" i="5"/>
  <c r="I88" i="5" s="1"/>
  <c r="H86" i="5"/>
  <c r="I86" i="5" s="1"/>
  <c r="H107" i="5"/>
  <c r="I107" i="5" s="1"/>
  <c r="H59" i="5"/>
  <c r="I59" i="5" s="1"/>
  <c r="H70" i="5"/>
  <c r="I70" i="5" s="1"/>
  <c r="H67" i="5"/>
  <c r="I67" i="5" s="1"/>
  <c r="H44" i="5"/>
  <c r="I44" i="5" s="1"/>
  <c r="H101" i="5"/>
  <c r="I101" i="5" s="1"/>
  <c r="H103" i="5"/>
  <c r="I103" i="5" s="1"/>
  <c r="H90" i="5"/>
  <c r="I90" i="5" s="1"/>
  <c r="H84" i="5"/>
  <c r="I84" i="5" s="1"/>
  <c r="H83" i="5"/>
  <c r="I83" i="5" s="1"/>
  <c r="H108" i="5"/>
  <c r="I108" i="5" s="1"/>
  <c r="H60" i="5"/>
  <c r="I60" i="5" s="1"/>
  <c r="H80" i="5"/>
  <c r="I80" i="5" s="1"/>
  <c r="H71" i="5"/>
  <c r="I71" i="5" s="1"/>
  <c r="H77" i="5"/>
  <c r="I77" i="5" s="1"/>
  <c r="H53" i="5"/>
  <c r="I53" i="5" s="1"/>
  <c r="O56" i="6"/>
  <c r="N56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2" i="6"/>
  <c r="O31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7" i="6"/>
  <c r="O58" i="6"/>
  <c r="O59" i="6"/>
  <c r="O60" i="6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2" i="6"/>
  <c r="N31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7" i="6"/>
  <c r="N58" i="6"/>
  <c r="N59" i="6"/>
  <c r="N60" i="6"/>
  <c r="D142" i="6"/>
  <c r="J150" i="6" l="1"/>
  <c r="K150" i="6" s="1"/>
  <c r="M30" i="5"/>
  <c r="M22" i="5" s="1"/>
  <c r="J30" i="5"/>
  <c r="J22" i="5" s="1"/>
  <c r="L30" i="5"/>
  <c r="L22" i="5" s="1"/>
  <c r="H30" i="5"/>
  <c r="H22" i="5" s="1"/>
  <c r="K30" i="5"/>
  <c r="K22" i="5" s="1"/>
  <c r="B147" i="6" l="1"/>
  <c r="P147" i="6" l="1"/>
  <c r="M147" i="6"/>
  <c r="Q147" i="6"/>
  <c r="N147" i="6"/>
  <c r="O147" i="6"/>
  <c r="F147" i="6"/>
  <c r="S147" i="6" s="1"/>
  <c r="E147" i="6"/>
  <c r="R147" i="6" s="1"/>
  <c r="G147" i="6"/>
  <c r="C47" i="2"/>
  <c r="G47" i="2"/>
  <c r="H47" i="2"/>
  <c r="C41" i="2"/>
  <c r="C42" i="2"/>
  <c r="C43" i="2"/>
  <c r="C44" i="2"/>
  <c r="C45" i="2"/>
  <c r="C46" i="2"/>
  <c r="G41" i="2"/>
  <c r="G42" i="2"/>
  <c r="G43" i="2"/>
  <c r="G44" i="2"/>
  <c r="G45" i="2"/>
  <c r="G46" i="2"/>
  <c r="H41" i="2"/>
  <c r="H42" i="2"/>
  <c r="H43" i="2"/>
  <c r="H44" i="2"/>
  <c r="H45" i="2"/>
  <c r="H46" i="2"/>
  <c r="L147" i="6" l="1"/>
  <c r="H147" i="6"/>
  <c r="I147" i="6"/>
  <c r="J147" i="6" s="1"/>
  <c r="K147" i="6" s="1"/>
  <c r="B146" i="6"/>
  <c r="O146" i="6" l="1"/>
  <c r="P146" i="6"/>
  <c r="M146" i="6"/>
  <c r="Q146" i="6"/>
  <c r="N146" i="6"/>
  <c r="F146" i="6"/>
  <c r="S146" i="6" s="1"/>
  <c r="G146" i="6"/>
  <c r="E146" i="6"/>
  <c r="R146" i="6" s="1"/>
  <c r="L146" i="6" l="1"/>
  <c r="H146" i="6"/>
  <c r="I146" i="6"/>
  <c r="J146" i="6" s="1"/>
  <c r="K146" i="6" s="1"/>
  <c r="D137" i="6" l="1"/>
  <c r="B139" i="6"/>
  <c r="B145" i="6"/>
  <c r="B144" i="6"/>
  <c r="M144" i="6" l="1"/>
  <c r="Q144" i="6"/>
  <c r="N144" i="6"/>
  <c r="O144" i="6"/>
  <c r="P144" i="6"/>
  <c r="N145" i="6"/>
  <c r="O145" i="6"/>
  <c r="P145" i="6"/>
  <c r="Q145" i="6"/>
  <c r="M145" i="6"/>
  <c r="N139" i="6"/>
  <c r="O139" i="6"/>
  <c r="P139" i="6"/>
  <c r="M139" i="6"/>
  <c r="Q139" i="6"/>
  <c r="F139" i="6"/>
  <c r="S139" i="6" s="1"/>
  <c r="G139" i="6"/>
  <c r="E139" i="6"/>
  <c r="R139" i="6" s="1"/>
  <c r="E144" i="6"/>
  <c r="R144" i="6" s="1"/>
  <c r="F144" i="6"/>
  <c r="S144" i="6" s="1"/>
  <c r="G144" i="6"/>
  <c r="H144" i="6" s="1"/>
  <c r="E145" i="6"/>
  <c r="R145" i="6" s="1"/>
  <c r="F145" i="6"/>
  <c r="S145" i="6" s="1"/>
  <c r="G145" i="6"/>
  <c r="L144" i="6" l="1"/>
  <c r="I139" i="6"/>
  <c r="J139" i="6" s="1"/>
  <c r="K139" i="6" s="1"/>
  <c r="H139" i="6"/>
  <c r="L145" i="6"/>
  <c r="H145" i="6"/>
  <c r="I145" i="6"/>
  <c r="J145" i="6" s="1"/>
  <c r="K145" i="6" s="1"/>
  <c r="L139" i="6"/>
  <c r="I144" i="6"/>
  <c r="J144" i="6" s="1"/>
  <c r="K144" i="6" s="1"/>
  <c r="Q13" i="1"/>
  <c r="C13" i="1"/>
  <c r="C31" i="2" l="1"/>
  <c r="C32" i="2"/>
  <c r="D4" i="1" l="1"/>
  <c r="C4" i="1"/>
  <c r="B4" i="1" s="1"/>
  <c r="K4" i="1" s="1"/>
  <c r="B3" i="1"/>
  <c r="K3" i="1" s="1"/>
  <c r="B5" i="1"/>
  <c r="Q5" i="1"/>
  <c r="S5" i="1" s="1"/>
  <c r="O5" i="1"/>
  <c r="K5" i="1" l="1"/>
  <c r="A5" i="1" s="1"/>
  <c r="B136" i="6"/>
  <c r="R5" i="1" l="1"/>
  <c r="L4" i="1"/>
  <c r="M5" i="1"/>
  <c r="T5" i="1"/>
  <c r="U5" i="1" s="1"/>
  <c r="O136" i="6"/>
  <c r="P136" i="6"/>
  <c r="M136" i="6"/>
  <c r="Q136" i="6"/>
  <c r="N136" i="6"/>
  <c r="E136" i="6"/>
  <c r="R136" i="6" s="1"/>
  <c r="F136" i="6"/>
  <c r="S136" i="6" s="1"/>
  <c r="G136" i="6"/>
  <c r="L136" i="6" l="1"/>
  <c r="I136" i="6"/>
  <c r="J136" i="6" s="1"/>
  <c r="K136" i="6" s="1"/>
  <c r="H136" i="6"/>
  <c r="Q15" i="1"/>
  <c r="O15" i="1"/>
  <c r="Q14" i="1"/>
  <c r="O14" i="1"/>
  <c r="O13" i="1"/>
  <c r="C8" i="1"/>
  <c r="Q10" i="1"/>
  <c r="S10" i="1" s="1"/>
  <c r="O10" i="1"/>
  <c r="S15" i="1" l="1"/>
  <c r="Q8" i="1" l="1"/>
  <c r="O8" i="1"/>
  <c r="Q9" i="1"/>
  <c r="O9" i="1"/>
  <c r="M6" i="2" l="1"/>
  <c r="B143" i="6" l="1"/>
  <c r="B142" i="6"/>
  <c r="B141" i="6"/>
  <c r="B140" i="6"/>
  <c r="B138" i="6"/>
  <c r="B137" i="6"/>
  <c r="B135" i="6"/>
  <c r="M138" i="6" l="1"/>
  <c r="Q138" i="6"/>
  <c r="N138" i="6"/>
  <c r="O138" i="6"/>
  <c r="P138" i="6"/>
  <c r="P141" i="6"/>
  <c r="M141" i="6"/>
  <c r="Q141" i="6"/>
  <c r="N141" i="6"/>
  <c r="O141" i="6"/>
  <c r="O140" i="6"/>
  <c r="P140" i="6"/>
  <c r="M140" i="6"/>
  <c r="Q140" i="6"/>
  <c r="N140" i="6"/>
  <c r="N135" i="6"/>
  <c r="O135" i="6"/>
  <c r="P135" i="6"/>
  <c r="M135" i="6"/>
  <c r="Q135" i="6"/>
  <c r="P137" i="6"/>
  <c r="M137" i="6"/>
  <c r="Q137" i="6"/>
  <c r="N137" i="6"/>
  <c r="O137" i="6"/>
  <c r="O142" i="6"/>
  <c r="P142" i="6"/>
  <c r="M142" i="6"/>
  <c r="Q142" i="6"/>
  <c r="N142" i="6"/>
  <c r="P143" i="6"/>
  <c r="M143" i="6"/>
  <c r="Q143" i="6"/>
  <c r="N143" i="6"/>
  <c r="O143" i="6"/>
  <c r="E141" i="6"/>
  <c r="R141" i="6" s="1"/>
  <c r="F141" i="6"/>
  <c r="S141" i="6" s="1"/>
  <c r="G141" i="6"/>
  <c r="F142" i="6"/>
  <c r="S142" i="6" s="1"/>
  <c r="G142" i="6"/>
  <c r="E142" i="6"/>
  <c r="R142" i="6" s="1"/>
  <c r="F143" i="6"/>
  <c r="S143" i="6" s="1"/>
  <c r="G143" i="6"/>
  <c r="H143" i="6" s="1"/>
  <c r="E143" i="6"/>
  <c r="R143" i="6" s="1"/>
  <c r="E135" i="6"/>
  <c r="R135" i="6" s="1"/>
  <c r="F135" i="6"/>
  <c r="S135" i="6" s="1"/>
  <c r="G135" i="6"/>
  <c r="F137" i="6"/>
  <c r="S137" i="6" s="1"/>
  <c r="E137" i="6"/>
  <c r="R137" i="6" s="1"/>
  <c r="G137" i="6"/>
  <c r="E138" i="6"/>
  <c r="R138" i="6" s="1"/>
  <c r="F138" i="6"/>
  <c r="S138" i="6" s="1"/>
  <c r="G138" i="6"/>
  <c r="G140" i="6"/>
  <c r="E140" i="6"/>
  <c r="R140" i="6" s="1"/>
  <c r="F140" i="6"/>
  <c r="S140" i="6" s="1"/>
  <c r="N131" i="6" l="1"/>
  <c r="P131" i="6"/>
  <c r="O131" i="6"/>
  <c r="M131" i="6"/>
  <c r="I137" i="6"/>
  <c r="J137" i="6" s="1"/>
  <c r="K137" i="6" s="1"/>
  <c r="H137" i="6"/>
  <c r="I141" i="6"/>
  <c r="J141" i="6" s="1"/>
  <c r="K141" i="6" s="1"/>
  <c r="H141" i="6"/>
  <c r="I135" i="6"/>
  <c r="J135" i="6" s="1"/>
  <c r="K135" i="6" s="1"/>
  <c r="H135" i="6"/>
  <c r="L143" i="6"/>
  <c r="I138" i="6"/>
  <c r="J138" i="6" s="1"/>
  <c r="K138" i="6" s="1"/>
  <c r="H138" i="6"/>
  <c r="H140" i="6"/>
  <c r="I140" i="6"/>
  <c r="J140" i="6" s="1"/>
  <c r="K140" i="6" s="1"/>
  <c r="L138" i="6"/>
  <c r="I142" i="6"/>
  <c r="J142" i="6" s="1"/>
  <c r="K142" i="6" s="1"/>
  <c r="H142" i="6"/>
  <c r="G131" i="6"/>
  <c r="F131" i="6"/>
  <c r="S131" i="6" s="1"/>
  <c r="E131" i="6"/>
  <c r="R131" i="6" s="1"/>
  <c r="L135" i="6"/>
  <c r="L137" i="6"/>
  <c r="L142" i="6"/>
  <c r="I143" i="6"/>
  <c r="J143" i="6" s="1"/>
  <c r="K143" i="6" s="1"/>
  <c r="L140" i="6"/>
  <c r="L141" i="6"/>
  <c r="C30" i="2"/>
  <c r="C27" i="2"/>
  <c r="C26" i="2"/>
  <c r="C25" i="2"/>
  <c r="C22" i="2"/>
  <c r="H37" i="2"/>
  <c r="C7" i="2"/>
  <c r="C4" i="2"/>
  <c r="H38" i="2"/>
  <c r="G119" i="5"/>
  <c r="G118" i="5"/>
  <c r="G117" i="5"/>
  <c r="G116" i="5"/>
  <c r="L25" i="2" l="1"/>
  <c r="X131" i="6"/>
  <c r="W131" i="6"/>
  <c r="I131" i="6"/>
  <c r="J131" i="6" s="1"/>
  <c r="K131" i="6" s="1"/>
  <c r="H131" i="6"/>
  <c r="E30" i="5"/>
  <c r="E22" i="5" s="1"/>
  <c r="M27" i="5"/>
  <c r="M19" i="5" s="1"/>
  <c r="J27" i="5"/>
  <c r="J19" i="5" s="1"/>
  <c r="L27" i="5"/>
  <c r="L19" i="5" s="1"/>
  <c r="K28" i="5"/>
  <c r="K20" i="5" s="1"/>
  <c r="M28" i="5"/>
  <c r="M20" i="5" s="1"/>
  <c r="L28" i="5"/>
  <c r="L20" i="5" s="1"/>
  <c r="J28" i="5"/>
  <c r="J20" i="5" s="1"/>
  <c r="F30" i="5"/>
  <c r="F22" i="5" s="1"/>
  <c r="G30" i="5"/>
  <c r="G22" i="5" s="1"/>
  <c r="M29" i="5"/>
  <c r="M21" i="5" s="1"/>
  <c r="J29" i="5"/>
  <c r="J21" i="5" s="1"/>
  <c r="K29" i="5"/>
  <c r="K21" i="5" s="1"/>
  <c r="L29" i="5"/>
  <c r="L21" i="5" s="1"/>
  <c r="C30" i="5"/>
  <c r="C22" i="5" s="1"/>
  <c r="M25" i="5"/>
  <c r="M17" i="5" s="1"/>
  <c r="J25" i="5"/>
  <c r="J17" i="5" s="1"/>
  <c r="K25" i="5"/>
  <c r="K17" i="5" s="1"/>
  <c r="L25" i="5"/>
  <c r="L17" i="5" s="1"/>
  <c r="K26" i="5"/>
  <c r="K18" i="5" s="1"/>
  <c r="D30" i="5"/>
  <c r="D22" i="5" s="1"/>
  <c r="L26" i="5"/>
  <c r="L18" i="5" s="1"/>
  <c r="M26" i="5"/>
  <c r="M18" i="5" s="1"/>
  <c r="J26" i="5"/>
  <c r="J18" i="5" s="1"/>
  <c r="E25" i="5"/>
  <c r="E17" i="5" s="1"/>
  <c r="E29" i="5"/>
  <c r="E21" i="5" s="1"/>
  <c r="E26" i="5"/>
  <c r="E18" i="5" s="1"/>
  <c r="E27" i="5"/>
  <c r="E19" i="5" s="1"/>
  <c r="E28" i="5"/>
  <c r="E20" i="5" s="1"/>
  <c r="H27" i="5"/>
  <c r="H19" i="5" s="1"/>
  <c r="F28" i="5"/>
  <c r="F20" i="5" s="1"/>
  <c r="F25" i="5"/>
  <c r="F17" i="5" s="1"/>
  <c r="F29" i="5"/>
  <c r="F21" i="5" s="1"/>
  <c r="F26" i="5"/>
  <c r="F18" i="5" s="1"/>
  <c r="F27" i="5"/>
  <c r="F19" i="5" s="1"/>
  <c r="H28" i="5"/>
  <c r="H20" i="5" s="1"/>
  <c r="C27" i="5"/>
  <c r="C19" i="5" s="1"/>
  <c r="C28" i="5"/>
  <c r="C20" i="5" s="1"/>
  <c r="C25" i="5"/>
  <c r="C17" i="5" s="1"/>
  <c r="C29" i="5"/>
  <c r="C21" i="5" s="1"/>
  <c r="C26" i="5"/>
  <c r="C18" i="5" s="1"/>
  <c r="H25" i="5"/>
  <c r="H17" i="5" s="1"/>
  <c r="G29" i="5"/>
  <c r="G21" i="5" s="1"/>
  <c r="G25" i="5"/>
  <c r="G17" i="5" s="1"/>
  <c r="G28" i="5"/>
  <c r="G20" i="5" s="1"/>
  <c r="G27" i="5"/>
  <c r="G19" i="5" s="1"/>
  <c r="G26" i="5"/>
  <c r="G18" i="5" s="1"/>
  <c r="H29" i="5"/>
  <c r="H21" i="5" s="1"/>
  <c r="D26" i="5"/>
  <c r="D18" i="5" s="1"/>
  <c r="D27" i="5"/>
  <c r="D19" i="5" s="1"/>
  <c r="D28" i="5"/>
  <c r="D20" i="5" s="1"/>
  <c r="D25" i="5"/>
  <c r="D17" i="5" s="1"/>
  <c r="D29" i="5"/>
  <c r="D21" i="5" s="1"/>
  <c r="H26" i="5"/>
  <c r="H18" i="5" s="1"/>
  <c r="L131" i="6"/>
  <c r="K27" i="5"/>
  <c r="K19" i="5" s="1"/>
  <c r="Y131" i="6" l="1"/>
  <c r="P3" i="2"/>
  <c r="P2" i="2"/>
  <c r="O3" i="2"/>
  <c r="O2" i="2"/>
  <c r="O3" i="1"/>
  <c r="O4" i="1"/>
  <c r="Q3" i="1"/>
  <c r="Q4" i="1"/>
  <c r="P6" i="2" l="1"/>
  <c r="A4" i="1"/>
  <c r="T4" i="1"/>
  <c r="U4" i="1" s="1"/>
  <c r="T3" i="1"/>
  <c r="U3" i="1" s="1"/>
  <c r="S4" i="1"/>
  <c r="M4" i="1" l="1"/>
  <c r="L3" i="1"/>
  <c r="R4" i="1"/>
  <c r="C9" i="2"/>
  <c r="A3" i="1" l="1"/>
  <c r="S3" i="1"/>
  <c r="Q6" i="2"/>
  <c r="M3" i="1" l="1"/>
  <c r="M6" i="1" s="1"/>
  <c r="R3" i="1"/>
  <c r="H36" i="2"/>
  <c r="C3" i="2"/>
  <c r="C5" i="2"/>
  <c r="C6" i="2"/>
  <c r="C10" i="2"/>
  <c r="C11" i="2"/>
  <c r="C12" i="2"/>
  <c r="C13" i="2"/>
  <c r="C14" i="2"/>
  <c r="C15" i="2"/>
  <c r="C16" i="2"/>
  <c r="C17" i="2"/>
  <c r="C18" i="2"/>
  <c r="C19" i="2"/>
  <c r="C20" i="2"/>
  <c r="C8" i="2"/>
  <c r="C21" i="2"/>
  <c r="C2" i="2"/>
  <c r="N6" i="2" l="1"/>
  <c r="O6" i="2" s="1"/>
  <c r="G36" i="2"/>
  <c r="L27" i="2" s="1"/>
  <c r="L30" i="2" l="1"/>
  <c r="L26" i="2" l="1"/>
  <c r="L20" i="2"/>
  <c r="L22" i="2"/>
  <c r="H39" i="2"/>
  <c r="H40" i="2"/>
  <c r="L24" i="5"/>
  <c r="L16" i="5" s="1"/>
  <c r="L18" i="2" l="1"/>
  <c r="M18" i="2" s="1"/>
  <c r="G39" i="2"/>
  <c r="B20" i="1"/>
  <c r="K20" i="1" s="1"/>
  <c r="B18" i="1"/>
  <c r="K18" i="1" s="1"/>
  <c r="G40" i="2"/>
  <c r="G38" i="2"/>
  <c r="G37" i="2"/>
  <c r="B29" i="5"/>
  <c r="B21" i="5" s="1"/>
  <c r="H24" i="5"/>
  <c r="H16" i="5" s="1"/>
  <c r="F24" i="5"/>
  <c r="F16" i="5" s="1"/>
  <c r="B24" i="5"/>
  <c r="B16" i="5" s="1"/>
  <c r="B26" i="5"/>
  <c r="B18" i="5" s="1"/>
  <c r="M24" i="5"/>
  <c r="M16" i="5" s="1"/>
  <c r="G24" i="5"/>
  <c r="G16" i="5" s="1"/>
  <c r="J24" i="5"/>
  <c r="J16" i="5" s="1"/>
  <c r="K24" i="5"/>
  <c r="K16" i="5" s="1"/>
  <c r="C24" i="5"/>
  <c r="C16" i="5" s="1"/>
  <c r="B28" i="5"/>
  <c r="B20" i="5" s="1"/>
  <c r="B27" i="5"/>
  <c r="B19" i="5" s="1"/>
  <c r="B30" i="5"/>
  <c r="B22" i="5" s="1"/>
  <c r="B25" i="5"/>
  <c r="B17" i="5" s="1"/>
  <c r="E24" i="5"/>
  <c r="E16" i="5" s="1"/>
  <c r="D24" i="5"/>
  <c r="D16" i="5" s="1"/>
  <c r="B25" i="1" l="1"/>
  <c r="K25" i="1" s="1"/>
  <c r="B23" i="1"/>
  <c r="K23" i="1" s="1"/>
  <c r="B19" i="1"/>
  <c r="K19" i="1" s="1"/>
  <c r="T20" i="1"/>
  <c r="U20" i="1" s="1"/>
  <c r="A20" i="1"/>
  <c r="B13" i="1"/>
  <c r="K13" i="1" s="1"/>
  <c r="B15" i="1"/>
  <c r="K15" i="1" s="1"/>
  <c r="B10" i="1"/>
  <c r="K10" i="1" s="1"/>
  <c r="B8" i="1"/>
  <c r="K8" i="1" s="1"/>
  <c r="I30" i="5"/>
  <c r="I22" i="5" s="1"/>
  <c r="B31" i="5"/>
  <c r="B23" i="5" s="1"/>
  <c r="C31" i="5"/>
  <c r="C23" i="5" s="1"/>
  <c r="D31" i="5"/>
  <c r="D23" i="5" s="1"/>
  <c r="G31" i="5"/>
  <c r="G23" i="5" s="1"/>
  <c r="E31" i="5"/>
  <c r="E23" i="5" s="1"/>
  <c r="K31" i="5"/>
  <c r="K23" i="5" s="1"/>
  <c r="I27" i="5"/>
  <c r="I19" i="5" s="1"/>
  <c r="I26" i="5"/>
  <c r="I18" i="5" s="1"/>
  <c r="J31" i="5"/>
  <c r="J23" i="5" s="1"/>
  <c r="I25" i="5"/>
  <c r="I17" i="5" s="1"/>
  <c r="H31" i="5"/>
  <c r="H23" i="5" s="1"/>
  <c r="I28" i="5"/>
  <c r="I20" i="5" s="1"/>
  <c r="M31" i="5"/>
  <c r="M23" i="5" s="1"/>
  <c r="I29" i="5"/>
  <c r="I21" i="5" s="1"/>
  <c r="I31" i="5"/>
  <c r="I23" i="5" s="1"/>
  <c r="F31" i="5"/>
  <c r="F23" i="5" s="1"/>
  <c r="L31" i="5"/>
  <c r="L23" i="5" s="1"/>
  <c r="I24" i="5"/>
  <c r="I16" i="5" s="1"/>
  <c r="T19" i="1" l="1"/>
  <c r="U19" i="1" s="1"/>
  <c r="A25" i="1"/>
  <c r="T25" i="1"/>
  <c r="U25" i="1" s="1"/>
  <c r="T18" i="1"/>
  <c r="U18" i="1" s="1"/>
  <c r="M20" i="1"/>
  <c r="L19" i="1"/>
  <c r="S19" i="1" s="1"/>
  <c r="R20" i="1"/>
  <c r="B24" i="1"/>
  <c r="K24" i="1" s="1"/>
  <c r="A10" i="1"/>
  <c r="T10" i="1"/>
  <c r="U10" i="1" s="1"/>
  <c r="A15" i="1"/>
  <c r="T15" i="1"/>
  <c r="U15" i="1" s="1"/>
  <c r="B9" i="1"/>
  <c r="K9" i="1" s="1"/>
  <c r="B14" i="1"/>
  <c r="K14" i="1" s="1"/>
  <c r="T23" i="1" l="1"/>
  <c r="U23" i="1" s="1"/>
  <c r="T24" i="1"/>
  <c r="U24" i="1" s="1"/>
  <c r="A19" i="1"/>
  <c r="L24" i="1"/>
  <c r="S24" i="1" s="1"/>
  <c r="M25" i="1"/>
  <c r="R25" i="1"/>
  <c r="T14" i="1"/>
  <c r="U14" i="1" s="1"/>
  <c r="T13" i="1"/>
  <c r="U13" i="1" s="1"/>
  <c r="L14" i="1"/>
  <c r="S14" i="1" s="1"/>
  <c r="R15" i="1"/>
  <c r="M15" i="1"/>
  <c r="T8" i="1"/>
  <c r="U8" i="1" s="1"/>
  <c r="T9" i="1"/>
  <c r="U9" i="1" s="1"/>
  <c r="M10" i="1"/>
  <c r="L9" i="1"/>
  <c r="S9" i="1" s="1"/>
  <c r="R10" i="1"/>
  <c r="A24" i="1" l="1"/>
  <c r="M24" i="1" s="1"/>
  <c r="R19" i="1"/>
  <c r="L18" i="1"/>
  <c r="M19" i="1"/>
  <c r="A14" i="1"/>
  <c r="A9" i="1"/>
  <c r="R24" i="1" l="1"/>
  <c r="L23" i="1"/>
  <c r="S23" i="1" s="1"/>
  <c r="S18" i="1"/>
  <c r="A18" i="1"/>
  <c r="M9" i="1"/>
  <c r="R9" i="1"/>
  <c r="L8" i="1"/>
  <c r="L13" i="1"/>
  <c r="R14" i="1"/>
  <c r="M14" i="1"/>
  <c r="A23" i="1" l="1"/>
  <c r="M23" i="1" s="1"/>
  <c r="M26" i="1" s="1"/>
  <c r="R18" i="1"/>
  <c r="M18" i="1"/>
  <c r="M21" i="1" s="1"/>
  <c r="S8" i="1"/>
  <c r="A8" i="1"/>
  <c r="S13" i="1"/>
  <c r="A13" i="1"/>
  <c r="R23" i="1" l="1"/>
  <c r="M8" i="1"/>
  <c r="M11" i="1" s="1"/>
  <c r="R8" i="1"/>
  <c r="M13" i="1"/>
  <c r="M16" i="1" s="1"/>
  <c r="R13" i="1"/>
</calcChain>
</file>

<file path=xl/comments1.xml><?xml version="1.0" encoding="utf-8"?>
<comments xmlns="http://schemas.openxmlformats.org/spreadsheetml/2006/main">
  <authors>
    <author>Драгунов Дмитрий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45378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55462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18000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4680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1320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204"/>
          </rPr>
          <t>23380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22220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9640
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8360
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4960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3960
</t>
        </r>
      </text>
    </comment>
  </commentList>
</comments>
</file>

<file path=xl/comments2.xml><?xml version="1.0" encoding="utf-8"?>
<comments xmlns="http://schemas.openxmlformats.org/spreadsheetml/2006/main">
  <authors>
    <author>Dmitrii Dragunov</author>
  </authors>
  <commentList>
    <comment ref="F83" authorId="0">
      <text>
        <r>
          <rPr>
            <b/>
            <sz val="9"/>
            <color indexed="81"/>
            <rFont val="Tahoma"/>
            <family val="2"/>
            <charset val="204"/>
          </rPr>
          <t>3500-5970</t>
        </r>
      </text>
    </comment>
    <comment ref="F84" authorId="0">
      <text>
        <r>
          <rPr>
            <b/>
            <sz val="9"/>
            <color indexed="81"/>
            <rFont val="Tahoma"/>
            <family val="2"/>
            <charset val="204"/>
          </rPr>
          <t>4500-7670</t>
        </r>
      </text>
    </comment>
    <comment ref="F85" authorId="0">
      <text>
        <r>
          <rPr>
            <b/>
            <sz val="9"/>
            <color indexed="81"/>
            <rFont val="Tahoma"/>
            <family val="2"/>
            <charset val="204"/>
          </rPr>
          <t>5500-9380</t>
        </r>
      </text>
    </comment>
    <comment ref="H111" authorId="0">
      <text>
        <r>
          <rPr>
            <b/>
            <sz val="9"/>
            <color indexed="81"/>
            <rFont val="Tahoma"/>
            <family val="2"/>
            <charset val="204"/>
          </rPr>
          <t>EnrU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2" authorId="0">
      <text>
        <r>
          <rPr>
            <b/>
            <sz val="9"/>
            <color indexed="81"/>
            <rFont val="Tahoma"/>
            <family val="2"/>
            <charset val="204"/>
          </rPr>
          <t>134.6-42.5</t>
        </r>
      </text>
    </comment>
    <comment ref="F112" authorId="0">
      <text>
        <r>
          <rPr>
            <b/>
            <sz val="9"/>
            <color indexed="81"/>
            <rFont val="Tahoma"/>
            <family val="2"/>
            <charset val="204"/>
          </rPr>
          <t>3500-8500</t>
        </r>
      </text>
    </comment>
    <comment ref="E113" authorId="0">
      <text>
        <r>
          <rPr>
            <b/>
            <sz val="9"/>
            <color indexed="81"/>
            <rFont val="Tahoma"/>
            <family val="2"/>
            <charset val="204"/>
          </rPr>
          <t>134.6-42.5</t>
        </r>
      </text>
    </comment>
    <comment ref="F113" authorId="0">
      <text>
        <r>
          <rPr>
            <b/>
            <sz val="9"/>
            <color indexed="81"/>
            <rFont val="Tahoma"/>
            <family val="2"/>
            <charset val="204"/>
          </rPr>
          <t>3500-8500</t>
        </r>
      </text>
    </comment>
    <comment ref="E114" authorId="0">
      <text>
        <r>
          <rPr>
            <b/>
            <sz val="9"/>
            <color indexed="81"/>
            <rFont val="Tahoma"/>
            <family val="2"/>
            <charset val="204"/>
          </rPr>
          <t>134.6-42.5</t>
        </r>
      </text>
    </comment>
    <comment ref="F114" authorId="0">
      <text>
        <r>
          <rPr>
            <b/>
            <sz val="9"/>
            <color indexed="81"/>
            <rFont val="Tahoma"/>
            <family val="2"/>
            <charset val="204"/>
          </rPr>
          <t>3500-8500</t>
        </r>
      </text>
    </comment>
    <comment ref="E115" authorId="0">
      <text>
        <r>
          <rPr>
            <b/>
            <sz val="9"/>
            <color indexed="81"/>
            <rFont val="Tahoma"/>
            <family val="2"/>
            <charset val="204"/>
          </rPr>
          <t>279-66.8</t>
        </r>
      </text>
    </comment>
    <comment ref="F115" authorId="0">
      <text>
        <r>
          <rPr>
            <b/>
            <sz val="9"/>
            <color indexed="81"/>
            <rFont val="Tahoma"/>
            <family val="2"/>
            <charset val="204"/>
          </rPr>
          <t>2000-6000</t>
        </r>
      </text>
    </comment>
    <comment ref="E116" authorId="0">
      <text>
        <r>
          <rPr>
            <b/>
            <sz val="9"/>
            <color indexed="81"/>
            <rFont val="Tahoma"/>
            <family val="2"/>
            <charset val="204"/>
          </rPr>
          <t>279-66.8</t>
        </r>
      </text>
    </comment>
    <comment ref="F116" authorId="0">
      <text>
        <r>
          <rPr>
            <b/>
            <sz val="9"/>
            <color indexed="81"/>
            <rFont val="Tahoma"/>
            <family val="2"/>
            <charset val="204"/>
          </rPr>
          <t>2000-6000</t>
        </r>
      </text>
    </comment>
    <comment ref="E117" authorId="0">
      <text>
        <r>
          <rPr>
            <b/>
            <sz val="9"/>
            <color indexed="81"/>
            <rFont val="Tahoma"/>
            <family val="2"/>
            <charset val="204"/>
          </rPr>
          <t>279-66.8</t>
        </r>
      </text>
    </comment>
    <comment ref="F117" authorId="0">
      <text>
        <r>
          <rPr>
            <b/>
            <sz val="9"/>
            <color indexed="81"/>
            <rFont val="Tahoma"/>
            <family val="2"/>
            <charset val="204"/>
          </rPr>
          <t>2000-6000</t>
        </r>
      </text>
    </comment>
    <comment ref="E118" authorId="0">
      <text>
        <r>
          <rPr>
            <b/>
            <sz val="9"/>
            <color indexed="81"/>
            <rFont val="Tahoma"/>
            <family val="2"/>
            <charset val="204"/>
          </rPr>
          <t>22.65-9.18</t>
        </r>
      </text>
    </comment>
    <comment ref="F118" authorId="0">
      <text>
        <r>
          <rPr>
            <b/>
            <sz val="9"/>
            <color indexed="81"/>
            <rFont val="Tahoma"/>
            <family val="2"/>
            <charset val="204"/>
          </rPr>
          <t>4000-8000</t>
        </r>
      </text>
    </comment>
    <comment ref="E119" authorId="0">
      <text>
        <r>
          <rPr>
            <b/>
            <sz val="9"/>
            <color indexed="81"/>
            <rFont val="Tahoma"/>
            <family val="2"/>
            <charset val="204"/>
          </rPr>
          <t>22.65-9.18</t>
        </r>
      </text>
    </comment>
    <comment ref="F119" authorId="0">
      <text>
        <r>
          <rPr>
            <b/>
            <sz val="9"/>
            <color indexed="81"/>
            <rFont val="Tahoma"/>
            <family val="2"/>
            <charset val="204"/>
          </rPr>
          <t>4000-8000</t>
        </r>
      </text>
    </comment>
    <comment ref="E120" authorId="0">
      <text>
        <r>
          <rPr>
            <b/>
            <sz val="9"/>
            <color indexed="81"/>
            <rFont val="Tahoma"/>
            <family val="2"/>
            <charset val="204"/>
          </rPr>
          <t>22.65-9.18</t>
        </r>
      </text>
    </comment>
    <comment ref="F120" authorId="0">
      <text>
        <r>
          <rPr>
            <b/>
            <sz val="9"/>
            <color indexed="81"/>
            <rFont val="Tahoma"/>
            <family val="2"/>
            <charset val="204"/>
          </rPr>
          <t>4000-8000</t>
        </r>
      </text>
    </comment>
    <comment ref="E121" authorId="0">
      <text>
        <r>
          <rPr>
            <b/>
            <sz val="9"/>
            <color indexed="81"/>
            <rFont val="Tahoma"/>
            <family val="2"/>
            <charset val="204"/>
          </rPr>
          <t>14.9-41.7</t>
        </r>
      </text>
    </comment>
    <comment ref="F121" authorId="0">
      <text>
        <r>
          <rPr>
            <b/>
            <sz val="9"/>
            <color indexed="81"/>
            <rFont val="Tahoma"/>
            <family val="2"/>
            <charset val="204"/>
          </rPr>
          <t>2500-5500</t>
        </r>
      </text>
    </comment>
    <comment ref="E122" authorId="0">
      <text>
        <r>
          <rPr>
            <b/>
            <sz val="9"/>
            <color indexed="81"/>
            <rFont val="Tahoma"/>
            <family val="2"/>
            <charset val="204"/>
          </rPr>
          <t>14.9-41.7</t>
        </r>
      </text>
    </comment>
    <comment ref="F122" authorId="0">
      <text>
        <r>
          <rPr>
            <b/>
            <sz val="9"/>
            <color indexed="81"/>
            <rFont val="Tahoma"/>
            <family val="2"/>
            <charset val="204"/>
          </rPr>
          <t>2500-5500</t>
        </r>
      </text>
    </comment>
    <comment ref="E123" authorId="0">
      <text>
        <r>
          <rPr>
            <b/>
            <sz val="9"/>
            <color indexed="81"/>
            <rFont val="Tahoma"/>
            <family val="2"/>
            <charset val="204"/>
          </rPr>
          <t>14.9-41.7</t>
        </r>
      </text>
    </comment>
    <comment ref="F123" authorId="0">
      <text>
        <r>
          <rPr>
            <b/>
            <sz val="9"/>
            <color indexed="81"/>
            <rFont val="Tahoma"/>
            <family val="2"/>
            <charset val="204"/>
          </rPr>
          <t>2500-5500</t>
        </r>
      </text>
    </comment>
    <comment ref="E124" authorId="0">
      <text>
        <r>
          <rPr>
            <b/>
            <sz val="9"/>
            <color indexed="81"/>
            <rFont val="Tahoma"/>
            <family val="2"/>
            <charset val="204"/>
          </rPr>
          <t>4.85-2.50</t>
        </r>
      </text>
    </comment>
    <comment ref="F124" authorId="0">
      <text>
        <r>
          <rPr>
            <b/>
            <sz val="9"/>
            <color indexed="81"/>
            <rFont val="Tahoma"/>
            <family val="2"/>
            <charset val="204"/>
          </rPr>
          <t>4500-7500</t>
        </r>
      </text>
    </comment>
    <comment ref="E125" authorId="0">
      <text>
        <r>
          <rPr>
            <b/>
            <sz val="9"/>
            <color indexed="81"/>
            <rFont val="Tahoma"/>
            <family val="2"/>
            <charset val="204"/>
          </rPr>
          <t>4.85-2.50</t>
        </r>
      </text>
    </comment>
    <comment ref="F125" authorId="0">
      <text>
        <r>
          <rPr>
            <b/>
            <sz val="9"/>
            <color indexed="81"/>
            <rFont val="Tahoma"/>
            <family val="2"/>
            <charset val="204"/>
          </rPr>
          <t>4500-7500</t>
        </r>
      </text>
    </comment>
    <comment ref="E126" authorId="0">
      <text>
        <r>
          <rPr>
            <b/>
            <sz val="9"/>
            <color indexed="81"/>
            <rFont val="Tahoma"/>
            <family val="2"/>
            <charset val="204"/>
          </rPr>
          <t>4.85-2.50</t>
        </r>
      </text>
    </comment>
    <comment ref="F126" authorId="0">
      <text>
        <r>
          <rPr>
            <b/>
            <sz val="9"/>
            <color indexed="81"/>
            <rFont val="Tahoma"/>
            <family val="2"/>
            <charset val="204"/>
          </rPr>
          <t>4500-7500</t>
        </r>
      </text>
    </comment>
    <comment ref="E127" authorId="0">
      <text>
        <r>
          <rPr>
            <b/>
            <sz val="9"/>
            <color indexed="81"/>
            <rFont val="Tahoma"/>
            <family val="2"/>
            <charset val="204"/>
          </rPr>
          <t>8.26-4.23</t>
        </r>
      </text>
    </comment>
    <comment ref="F127" authorId="0">
      <text>
        <r>
          <rPr>
            <b/>
            <sz val="9"/>
            <color indexed="81"/>
            <rFont val="Tahoma"/>
            <family val="2"/>
            <charset val="204"/>
          </rPr>
          <t>3000-5000</t>
        </r>
      </text>
    </comment>
    <comment ref="E128" authorId="0">
      <text>
        <r>
          <rPr>
            <b/>
            <sz val="9"/>
            <color indexed="81"/>
            <rFont val="Tahoma"/>
            <family val="2"/>
            <charset val="204"/>
          </rPr>
          <t>8.26-4.23</t>
        </r>
      </text>
    </comment>
    <comment ref="F128" authorId="0">
      <text>
        <r>
          <rPr>
            <b/>
            <sz val="9"/>
            <color indexed="81"/>
            <rFont val="Tahoma"/>
            <family val="2"/>
            <charset val="204"/>
          </rPr>
          <t>3000-5000</t>
        </r>
      </text>
    </comment>
    <comment ref="E129" authorId="0">
      <text>
        <r>
          <rPr>
            <b/>
            <sz val="9"/>
            <color indexed="81"/>
            <rFont val="Tahoma"/>
            <family val="2"/>
            <charset val="204"/>
          </rPr>
          <t>8.26-4.23</t>
        </r>
      </text>
    </comment>
    <comment ref="F129" authorId="0">
      <text>
        <r>
          <rPr>
            <b/>
            <sz val="9"/>
            <color indexed="81"/>
            <rFont val="Tahoma"/>
            <family val="2"/>
            <charset val="204"/>
          </rPr>
          <t>3000-5000</t>
        </r>
      </text>
    </comment>
  </commentList>
</comments>
</file>

<file path=xl/comments3.xml><?xml version="1.0" encoding="utf-8"?>
<comments xmlns="http://schemas.openxmlformats.org/spreadsheetml/2006/main">
  <authors>
    <author>Драгунов Дмитрий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add Reflector from Near Future</t>
        </r>
      </text>
    </comment>
    <comment ref="L34" authorId="0">
      <text>
        <r>
          <rPr>
            <b/>
            <sz val="9"/>
            <color indexed="81"/>
            <rFont val="Tahoma"/>
            <family val="2"/>
            <charset val="204"/>
          </rPr>
          <t>for Near Future reflectors</t>
        </r>
      </text>
    </comment>
  </commentList>
</comments>
</file>

<file path=xl/comments4.xml><?xml version="1.0" encoding="utf-8"?>
<comments xmlns="http://schemas.openxmlformats.org/spreadsheetml/2006/main">
  <authors>
    <author>Драгунов Дмитрий</author>
  </authors>
  <commentList>
    <comment ref="Q130" authorId="0">
      <text>
        <r>
          <rPr>
            <b/>
            <sz val="9"/>
            <color indexed="81"/>
            <rFont val="Tahoma"/>
            <family val="2"/>
            <charset val="204"/>
          </rPr>
          <t>above surface (pole), to guaranteed link to satellites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Драгунов Дмитрий</author>
  </authors>
  <commentLis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Stock: 6
JNSQ: 12
RSS: 24</t>
        </r>
      </text>
    </comment>
  </commentList>
</comments>
</file>

<file path=xl/sharedStrings.xml><?xml version="1.0" encoding="utf-8"?>
<sst xmlns="http://schemas.openxmlformats.org/spreadsheetml/2006/main" count="1323" uniqueCount="592">
  <si>
    <t>V Lf</t>
  </si>
  <si>
    <t>V Ore</t>
  </si>
  <si>
    <t>V Ox</t>
  </si>
  <si>
    <t>V Xenon</t>
  </si>
  <si>
    <t>N Eng</t>
  </si>
  <si>
    <t>F Eng</t>
  </si>
  <si>
    <t>M</t>
  </si>
  <si>
    <t>Engine</t>
  </si>
  <si>
    <t>F vac</t>
  </si>
  <si>
    <t>D lf</t>
  </si>
  <si>
    <t>D ox</t>
  </si>
  <si>
    <t>24-77</t>
  </si>
  <si>
    <t>48-7S</t>
  </si>
  <si>
    <t>IX-6315</t>
  </si>
  <si>
    <t>KR-2L+</t>
  </si>
  <si>
    <t>LV-1</t>
  </si>
  <si>
    <t>LV-1R</t>
  </si>
  <si>
    <t>LV-909</t>
  </si>
  <si>
    <t>LV-N</t>
  </si>
  <si>
    <t>LV-T30</t>
  </si>
  <si>
    <t>LV-T45</t>
  </si>
  <si>
    <t>Mk-55</t>
  </si>
  <si>
    <t>RE-I5</t>
  </si>
  <si>
    <t>RE-L10</t>
  </si>
  <si>
    <t>RE-M3</t>
  </si>
  <si>
    <t>KS-25</t>
  </si>
  <si>
    <t>T-1</t>
  </si>
  <si>
    <t>O-10</t>
  </si>
  <si>
    <t>Xenon</t>
  </si>
  <si>
    <t>LF</t>
  </si>
  <si>
    <t>MonoP</t>
  </si>
  <si>
    <t>V Solid</t>
  </si>
  <si>
    <t>t, c</t>
  </si>
  <si>
    <t>t, min</t>
  </si>
  <si>
    <t>N eng</t>
  </si>
  <si>
    <t>F asl</t>
  </si>
  <si>
    <t>Isp asl</t>
  </si>
  <si>
    <t>Isp vac</t>
  </si>
  <si>
    <t>Isp</t>
  </si>
  <si>
    <t>DSN 1</t>
  </si>
  <si>
    <t>DSN 2</t>
  </si>
  <si>
    <t>DSN 3</t>
  </si>
  <si>
    <t>Distance</t>
  </si>
  <si>
    <t>Signal Power</t>
  </si>
  <si>
    <t>N of Ant.</t>
  </si>
  <si>
    <t>Custom</t>
  </si>
  <si>
    <t>Fuel Station</t>
  </si>
  <si>
    <t>KS-25x4</t>
  </si>
  <si>
    <t>DSN Modifier</t>
  </si>
  <si>
    <t>Data Size</t>
  </si>
  <si>
    <t>Sensor</t>
  </si>
  <si>
    <t>Type</t>
  </si>
  <si>
    <t>Class</t>
  </si>
  <si>
    <t>Packet</t>
  </si>
  <si>
    <t>Interval</t>
  </si>
  <si>
    <t>Cost</t>
  </si>
  <si>
    <t>Time</t>
  </si>
  <si>
    <t>Comm 16</t>
  </si>
  <si>
    <t>direct</t>
  </si>
  <si>
    <t>Comm 16-S</t>
  </si>
  <si>
    <t>Thermometer</t>
  </si>
  <si>
    <t>HG-5</t>
  </si>
  <si>
    <t>relay</t>
  </si>
  <si>
    <t>Goo</t>
  </si>
  <si>
    <t>DTS-M1</t>
  </si>
  <si>
    <t>Barometer</t>
  </si>
  <si>
    <t>RA-2</t>
  </si>
  <si>
    <t>SC-9001</t>
  </si>
  <si>
    <t>HG-55</t>
  </si>
  <si>
    <t>Surface Sample</t>
  </si>
  <si>
    <t>RA-15</t>
  </si>
  <si>
    <t>Accelerometer</t>
  </si>
  <si>
    <t>88-88</t>
  </si>
  <si>
    <t>Grav.meter</t>
  </si>
  <si>
    <t>RA-100</t>
  </si>
  <si>
    <t>Asteroid Sample</t>
  </si>
  <si>
    <t>Variometer</t>
  </si>
  <si>
    <t>BaseRange</t>
  </si>
  <si>
    <t>Count</t>
  </si>
  <si>
    <t>Laboratory</t>
  </si>
  <si>
    <t>Range</t>
  </si>
  <si>
    <t>Basepower</t>
  </si>
  <si>
    <t>Power</t>
  </si>
  <si>
    <t>SumPower</t>
  </si>
  <si>
    <t>Fstation</t>
  </si>
  <si>
    <t>CPlane2</t>
  </si>
  <si>
    <t>CR-7</t>
  </si>
  <si>
    <t>KR-1x2</t>
  </si>
  <si>
    <t>BACC</t>
  </si>
  <si>
    <t>RT-10</t>
  </si>
  <si>
    <t>RT-5</t>
  </si>
  <si>
    <t>KD-25K</t>
  </si>
  <si>
    <t>Solid</t>
  </si>
  <si>
    <t>Sepratron</t>
  </si>
  <si>
    <t>Radius</t>
  </si>
  <si>
    <t>Sun</t>
  </si>
  <si>
    <t>Moho</t>
  </si>
  <si>
    <t>Eve</t>
  </si>
  <si>
    <t>Gilly</t>
  </si>
  <si>
    <t>SOI</t>
  </si>
  <si>
    <t>Infinity</t>
  </si>
  <si>
    <t>Kerbin</t>
  </si>
  <si>
    <t>Mun</t>
  </si>
  <si>
    <t>Minmus</t>
  </si>
  <si>
    <t>Duna</t>
  </si>
  <si>
    <t>Ike</t>
  </si>
  <si>
    <t>Dres</t>
  </si>
  <si>
    <t>Jool</t>
  </si>
  <si>
    <t>Laythe</t>
  </si>
  <si>
    <t>Vall</t>
  </si>
  <si>
    <t>Tylo</t>
  </si>
  <si>
    <t>Bop</t>
  </si>
  <si>
    <t>Pol</t>
  </si>
  <si>
    <t>Eeloo</t>
  </si>
  <si>
    <t>Planet</t>
  </si>
  <si>
    <t>Va, km/s</t>
  </si>
  <si>
    <t>Vp, km/s</t>
  </si>
  <si>
    <t>Pe, km</t>
  </si>
  <si>
    <t>Ap, km</t>
  </si>
  <si>
    <t>R, km</t>
  </si>
  <si>
    <t>Gravity</t>
  </si>
  <si>
    <t>d</t>
  </si>
  <si>
    <t>h</t>
  </si>
  <si>
    <t>m</t>
  </si>
  <si>
    <t>s</t>
  </si>
  <si>
    <t>T, s</t>
  </si>
  <si>
    <t>Rotation</t>
  </si>
  <si>
    <t>V MonoP</t>
  </si>
  <si>
    <t>F, kN</t>
  </si>
  <si>
    <r>
      <t>A</t>
    </r>
    <r>
      <rPr>
        <sz val="8"/>
        <color theme="1"/>
        <rFont val="Calibri"/>
        <family val="2"/>
        <charset val="204"/>
        <scheme val="minor"/>
      </rPr>
      <t>0,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m/s^2</t>
    </r>
  </si>
  <si>
    <r>
      <t>A</t>
    </r>
    <r>
      <rPr>
        <sz val="8"/>
        <color theme="1"/>
        <rFont val="Calibri"/>
        <family val="2"/>
        <charset val="204"/>
        <scheme val="minor"/>
      </rPr>
      <t>1,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m/s^2</t>
    </r>
  </si>
  <si>
    <r>
      <t xml:space="preserve">dV, </t>
    </r>
    <r>
      <rPr>
        <b/>
        <sz val="10"/>
        <color theme="1"/>
        <rFont val="Calibri"/>
        <family val="2"/>
        <charset val="204"/>
        <scheme val="minor"/>
      </rPr>
      <t>m/s</t>
    </r>
  </si>
  <si>
    <r>
      <t xml:space="preserve">M </t>
    </r>
    <r>
      <rPr>
        <sz val="10"/>
        <color theme="1"/>
        <rFont val="Calibri"/>
        <family val="2"/>
        <charset val="204"/>
        <scheme val="minor"/>
      </rPr>
      <t>total, t</t>
    </r>
  </si>
  <si>
    <r>
      <t xml:space="preserve">M </t>
    </r>
    <r>
      <rPr>
        <sz val="10"/>
        <color theme="1"/>
        <rFont val="Calibri"/>
        <family val="2"/>
        <charset val="204"/>
        <scheme val="minor"/>
      </rPr>
      <t>fuel, t</t>
    </r>
  </si>
  <si>
    <r>
      <t xml:space="preserve">M </t>
    </r>
    <r>
      <rPr>
        <sz val="10"/>
        <color theme="1"/>
        <rFont val="Calibri"/>
        <family val="2"/>
        <charset val="204"/>
        <scheme val="minor"/>
      </rPr>
      <t>dry, t</t>
    </r>
  </si>
  <si>
    <t>Linear RCS</t>
  </si>
  <si>
    <t>RV-105 RCS</t>
  </si>
  <si>
    <t>KE-1</t>
  </si>
  <si>
    <t>LV-T91</t>
  </si>
  <si>
    <t>LV-TX87</t>
  </si>
  <si>
    <t>RE-I2</t>
  </si>
  <si>
    <t>RE-J10</t>
  </si>
  <si>
    <t>RK-7</t>
  </si>
  <si>
    <t>RV-1</t>
  </si>
  <si>
    <t>JW1</t>
  </si>
  <si>
    <t>JU1</t>
  </si>
  <si>
    <t>JX2</t>
  </si>
  <si>
    <t>Max Distance, Mm</t>
  </si>
  <si>
    <t>Stock</t>
  </si>
  <si>
    <t>Neydon</t>
  </si>
  <si>
    <t>Plock</t>
  </si>
  <si>
    <t>Sarnus</t>
  </si>
  <si>
    <t>Urlum</t>
  </si>
  <si>
    <t>Karen</t>
  </si>
  <si>
    <t>a</t>
  </si>
  <si>
    <t>+</t>
  </si>
  <si>
    <t>Hale</t>
  </si>
  <si>
    <t>e</t>
  </si>
  <si>
    <t>i</t>
  </si>
  <si>
    <t>Ovok</t>
  </si>
  <si>
    <t>Slate</t>
  </si>
  <si>
    <t>Tekto</t>
  </si>
  <si>
    <t>Polta</t>
  </si>
  <si>
    <t>Priax</t>
  </si>
  <si>
    <t>Wal</t>
  </si>
  <si>
    <t>Tal</t>
  </si>
  <si>
    <t>Nissee</t>
  </si>
  <si>
    <t>Thatmo</t>
  </si>
  <si>
    <t>Ap</t>
  </si>
  <si>
    <t>Pe</t>
  </si>
  <si>
    <t>Grannus</t>
  </si>
  <si>
    <t>GEP</t>
  </si>
  <si>
    <t>Reference</t>
  </si>
  <si>
    <t>Taranis</t>
  </si>
  <si>
    <t>Nodens</t>
  </si>
  <si>
    <t>Belisama</t>
  </si>
  <si>
    <t>Sirona</t>
  </si>
  <si>
    <t>Airmed</t>
  </si>
  <si>
    <t>Brovo</t>
  </si>
  <si>
    <t>Damona</t>
  </si>
  <si>
    <t>Epona</t>
  </si>
  <si>
    <t>Rosmerta</t>
  </si>
  <si>
    <t>RAB-58E</t>
  </si>
  <si>
    <t>Cernunnos</t>
  </si>
  <si>
    <t>OP</t>
  </si>
  <si>
    <t>ES</t>
  </si>
  <si>
    <t>Valentine</t>
  </si>
  <si>
    <t>Heba</t>
  </si>
  <si>
    <t>Solyth</t>
  </si>
  <si>
    <t>Fust</t>
  </si>
  <si>
    <t>Serex</t>
  </si>
  <si>
    <t>Kuprus</t>
  </si>
  <si>
    <t>Mir</t>
  </si>
  <si>
    <t>Lomina</t>
  </si>
  <si>
    <t>Maol</t>
  </si>
  <si>
    <t>Ucella</t>
  </si>
  <si>
    <t>Javine</t>
  </si>
  <si>
    <t>Deemo</t>
  </si>
  <si>
    <t>Pael</t>
  </si>
  <si>
    <t>y</t>
  </si>
  <si>
    <r>
      <t>GM, km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/s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</si>
  <si>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O</t>
    </r>
    <r>
      <rPr>
        <vertAlign val="subscript"/>
        <sz val="11"/>
        <color theme="1"/>
        <rFont val="Calibri"/>
        <family val="2"/>
        <charset val="204"/>
        <scheme val="minor"/>
      </rPr>
      <t>2</t>
    </r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</si>
  <si>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atm</t>
    </r>
  </si>
  <si>
    <r>
      <t>H</t>
    </r>
    <r>
      <rPr>
        <vertAlign val="subscript"/>
        <sz val="11"/>
        <color theme="1"/>
        <rFont val="Calibri"/>
        <family val="2"/>
        <charset val="204"/>
        <scheme val="minor"/>
      </rPr>
      <t>atm</t>
    </r>
    <r>
      <rPr>
        <sz val="11"/>
        <color theme="1"/>
        <rFont val="Calibri"/>
        <family val="2"/>
        <charset val="204"/>
        <scheme val="minor"/>
      </rPr>
      <t>, km</t>
    </r>
  </si>
  <si>
    <t>Maol M</t>
  </si>
  <si>
    <t>Interstellar</t>
  </si>
  <si>
    <t>Phased Array Relay (Sphere)</t>
  </si>
  <si>
    <t>Phased Array Transiever (Inline)</t>
  </si>
  <si>
    <t>Inline Wrapped Phased Array</t>
  </si>
  <si>
    <t>Phased Array Transiever (Deployable)</t>
  </si>
  <si>
    <t>Double Pivoting Phased Array Transiever</t>
  </si>
  <si>
    <t>Thermal Solar Beamed Power Receiver</t>
  </si>
  <si>
    <t>Inline Thermal Receiver Mirror Dish</t>
  </si>
  <si>
    <t>Oversized Aluminium Thermal Dish Receiver (Inline)</t>
  </si>
  <si>
    <t>Oversized Aluminium Thermal Dish Receiver (Head)</t>
  </si>
  <si>
    <t>Oversized Gold Thermal Dish Receiver (Inline)</t>
  </si>
  <si>
    <t>Radial Gold Thermal Dish Reciever</t>
  </si>
  <si>
    <t>Radial Aluminium Thermal Dish Receiver</t>
  </si>
  <si>
    <t>Double Pivoted Thermophotovoltaic Receiver</t>
  </si>
  <si>
    <t>Airborne Diode Laser Transmitter</t>
  </si>
  <si>
    <t>Multi Bandwidth Dish Transceiver (Large)</t>
  </si>
  <si>
    <t xml:space="preserve">DT-L-IR-1 Laser Beam Transmitter </t>
  </si>
  <si>
    <t>Diode Beamed Power Laser</t>
  </si>
  <si>
    <t>Multi Bandwidth Dish Transceiver (Medium)</t>
  </si>
  <si>
    <t>Multi Bandwidth Dish Transceiver (Shielded)</t>
  </si>
  <si>
    <t>Microwave Transducer DT-MW-TD-32x</t>
  </si>
  <si>
    <t>Oversized Microwave Dish Transciever</t>
  </si>
  <si>
    <t>Oversized Microwave Dish Transciever Head</t>
  </si>
  <si>
    <t>Shielded Multi Wavelength Diode Laser Transmitter</t>
  </si>
  <si>
    <t>Science Laboratory</t>
  </si>
  <si>
    <t>Bussard Fusion Engine</t>
  </si>
  <si>
    <t>Daedalus</t>
  </si>
  <si>
    <t>Truss Command Pod</t>
  </si>
  <si>
    <t>Name</t>
  </si>
  <si>
    <t>internal</t>
  </si>
  <si>
    <t>Computer Core</t>
  </si>
  <si>
    <t>CDTcore</t>
  </si>
  <si>
    <t>Oversized Gold Thermal Dish Receiver (Head)</t>
  </si>
  <si>
    <t>IR Telescope</t>
  </si>
  <si>
    <t>Supercollider Experiment</t>
  </si>
  <si>
    <t>Impactor Experiment</t>
  </si>
  <si>
    <t>Gas Chromatograph Mass Spectrometer</t>
  </si>
  <si>
    <t>Dual Technique Magnetometer</t>
  </si>
  <si>
    <t>Liquid Chromatograph Mass Spectrometer</t>
  </si>
  <si>
    <t>Infrared Telescope</t>
  </si>
  <si>
    <t>Gamma Ray Spectrometer</t>
  </si>
  <si>
    <t>Crew Report</t>
  </si>
  <si>
    <t>EVA Report</t>
  </si>
  <si>
    <t>Internal</t>
  </si>
  <si>
    <t>MH</t>
  </si>
  <si>
    <t>Craft</t>
  </si>
  <si>
    <t>min. Lat., deg.</t>
  </si>
  <si>
    <t>max. Lat., deg.</t>
  </si>
  <si>
    <t>DSat., km</t>
  </si>
  <si>
    <t>max. DSurf., km</t>
  </si>
  <si>
    <t>Comb.</t>
  </si>
  <si>
    <t>Mod</t>
  </si>
  <si>
    <t>TMR</t>
  </si>
  <si>
    <t>RA-100x7</t>
  </si>
  <si>
    <t>Scanner</t>
  </si>
  <si>
    <t>FoV</t>
  </si>
  <si>
    <t>H opt</t>
  </si>
  <si>
    <t>H min</t>
  </si>
  <si>
    <t>Hmax</t>
  </si>
  <si>
    <t>MS</t>
  </si>
  <si>
    <t>Band, deg.</t>
  </si>
  <si>
    <t>No of Series</t>
  </si>
  <si>
    <t>Incl., deg</t>
  </si>
  <si>
    <t>Time, days</t>
  </si>
  <si>
    <t>Rotations to new series</t>
  </si>
  <si>
    <t>Alt., km</t>
  </si>
  <si>
    <t>Scansat</t>
  </si>
  <si>
    <t>RS-125</t>
  </si>
  <si>
    <t>RS-250</t>
  </si>
  <si>
    <t>RS-375</t>
  </si>
  <si>
    <t>Cruise Plane Mk.2</t>
  </si>
  <si>
    <t>Module</t>
  </si>
  <si>
    <t>None</t>
  </si>
  <si>
    <t>Mulch</t>
  </si>
  <si>
    <t>Minmus Tour 7</t>
  </si>
  <si>
    <t>M Lab</t>
  </si>
  <si>
    <t>Days</t>
  </si>
  <si>
    <t>Nom-O-Matic 25000</t>
  </si>
  <si>
    <t>Nom-O-Matic 25000-I</t>
  </si>
  <si>
    <t>Nom-O-Matic 5000</t>
  </si>
  <si>
    <t>LS</t>
  </si>
  <si>
    <t>MKS 'Duna' Agriculture Module</t>
  </si>
  <si>
    <t>MKS</t>
  </si>
  <si>
    <t>Mulch-</t>
  </si>
  <si>
    <t>Fertilizer-</t>
  </si>
  <si>
    <t>Supplies+</t>
  </si>
  <si>
    <t>EC-</t>
  </si>
  <si>
    <t>Machinery-</t>
  </si>
  <si>
    <t>Recyclables+</t>
  </si>
  <si>
    <t>ReqMachin</t>
  </si>
  <si>
    <t>PN-C-T100 "Unbidden" Communication Array</t>
  </si>
  <si>
    <t>TWB</t>
  </si>
  <si>
    <t>PN-CA-P1 "Over the Garden Wall" Communication Platform</t>
  </si>
  <si>
    <t>PN-CA-PX "Beyond the Boundary" Communication Interface</t>
  </si>
  <si>
    <t>USI</t>
  </si>
  <si>
    <t>NPU-250</t>
  </si>
  <si>
    <t>Orion250</t>
  </si>
  <si>
    <t>Orion500</t>
  </si>
  <si>
    <t>Orion1000</t>
  </si>
  <si>
    <t>UseSpecialistBonus</t>
  </si>
  <si>
    <t>ExperienceEffect</t>
  </si>
  <si>
    <t>EfficiencyTag</t>
  </si>
  <si>
    <t>true</t>
  </si>
  <si>
    <t>BotanySkill</t>
  </si>
  <si>
    <t>Greenhouse</t>
  </si>
  <si>
    <t>MKS 'Ranger' Agricultural Module</t>
  </si>
  <si>
    <t>MKS 'Tundra' Agriculture Module (2.5m)</t>
  </si>
  <si>
    <t>MKS 'Tundra' Agriculture Module (3.75m)</t>
  </si>
  <si>
    <t>Supplies</t>
  </si>
  <si>
    <t>Fertilizer</t>
  </si>
  <si>
    <t>ElectricCharge</t>
  </si>
  <si>
    <t>RecyclePercent</t>
  </si>
  <si>
    <t>CrewCapacity</t>
  </si>
  <si>
    <t>RT-5000 Recycling Module</t>
  </si>
  <si>
    <t>RT-500 Recycling Module</t>
  </si>
  <si>
    <t>Mobile Processing Lab</t>
  </si>
  <si>
    <t>MKS 'Duna' Kerbitat Recycler</t>
  </si>
  <si>
    <t>MKS 'Duna' Kerbitat Purifier</t>
  </si>
  <si>
    <t>MKS 'Duna' Pioneer Module</t>
  </si>
  <si>
    <t>'Salamander' Command Pod</t>
  </si>
  <si>
    <t>Water-</t>
  </si>
  <si>
    <t>MKS 'Tundra' Kerbitat (2.5m) Recycler</t>
  </si>
  <si>
    <t>MKS 'Tundra' Kerbitat (2.5m) Purifier</t>
  </si>
  <si>
    <t>MKS 'Tundra' Kerbitat (3.75m) Recycler</t>
  </si>
  <si>
    <t>MKS 'Tundra' Kerbitat (3.75m) Purifier</t>
  </si>
  <si>
    <t>MKS 'Tundra' Pioneer + Logistics Module</t>
  </si>
  <si>
    <t>Supplies per day Consumed</t>
  </si>
  <si>
    <t>Recycler</t>
  </si>
  <si>
    <t>Crew Affected</t>
  </si>
  <si>
    <t>Count of Green houses</t>
  </si>
  <si>
    <t>Load:</t>
  </si>
  <si>
    <t>Supplies per day Produced</t>
  </si>
  <si>
    <t>Fertilizer per day Consumed</t>
  </si>
  <si>
    <t>Supplies in Green houses</t>
  </si>
  <si>
    <t>Fertilizer in Green houses</t>
  </si>
  <si>
    <t>Supplies loaded:</t>
  </si>
  <si>
    <t>Fertilizer loaded:</t>
  </si>
  <si>
    <t>RequiredMachinery</t>
  </si>
  <si>
    <t>EC Consumed</t>
  </si>
  <si>
    <t>Count of Recyclers</t>
  </si>
  <si>
    <t>Ap, s</t>
  </si>
  <si>
    <t>Pe, s</t>
  </si>
  <si>
    <t>Shadow time</t>
  </si>
  <si>
    <t>Mun Outpost 1</t>
  </si>
  <si>
    <t>Body</t>
  </si>
  <si>
    <t>Biome</t>
  </si>
  <si>
    <t>Ore</t>
  </si>
  <si>
    <t>Dirt</t>
  </si>
  <si>
    <t>Gypsum</t>
  </si>
  <si>
    <t>Hydrates</t>
  </si>
  <si>
    <t>Karbonite</t>
  </si>
  <si>
    <t>ExoMinerals</t>
  </si>
  <si>
    <t>RareMetals</t>
  </si>
  <si>
    <t>Regolith</t>
  </si>
  <si>
    <t>Silicates</t>
  </si>
  <si>
    <t>Spodumene</t>
  </si>
  <si>
    <t>Uranitite</t>
  </si>
  <si>
    <t>Alumina</t>
  </si>
  <si>
    <t>MetallicOre</t>
  </si>
  <si>
    <t>Minerals</t>
  </si>
  <si>
    <t>Water</t>
  </si>
  <si>
    <t>Borate</t>
  </si>
  <si>
    <t>Monazite</t>
  </si>
  <si>
    <t>Salt</t>
  </si>
  <si>
    <t>Nitratine</t>
  </si>
  <si>
    <t>Highlands</t>
  </si>
  <si>
    <t>East Crater</t>
  </si>
  <si>
    <t>Substrate</t>
  </si>
  <si>
    <t>Farside Crater</t>
  </si>
  <si>
    <t>Grasslands</t>
  </si>
  <si>
    <t>Shores</t>
  </si>
  <si>
    <t>Fluorite</t>
  </si>
  <si>
    <t>Deserts</t>
  </si>
  <si>
    <t>Midlands</t>
  </si>
  <si>
    <t>Lowlands</t>
  </si>
  <si>
    <t>RSS</t>
  </si>
  <si>
    <t>Sun(RSS)</t>
  </si>
  <si>
    <t>Mercury</t>
  </si>
  <si>
    <t>Venus</t>
  </si>
  <si>
    <t>Earth</t>
  </si>
  <si>
    <t>Moon</t>
  </si>
  <si>
    <t>Mars</t>
  </si>
  <si>
    <t>Phobos</t>
  </si>
  <si>
    <t>Deimos</t>
  </si>
  <si>
    <t>Ceres</t>
  </si>
  <si>
    <t>Vesta</t>
  </si>
  <si>
    <t>Jupiter</t>
  </si>
  <si>
    <t>Io</t>
  </si>
  <si>
    <t>Europa</t>
  </si>
  <si>
    <t>Ganymede</t>
  </si>
  <si>
    <t>Callisto</t>
  </si>
  <si>
    <t>Saturn</t>
  </si>
  <si>
    <t>Dione</t>
  </si>
  <si>
    <t>Enceladus</t>
  </si>
  <si>
    <t>Iapetus</t>
  </si>
  <si>
    <t>Mimas</t>
  </si>
  <si>
    <t>Rhea</t>
  </si>
  <si>
    <t>Tethys</t>
  </si>
  <si>
    <t>Titan</t>
  </si>
  <si>
    <t>Uranus</t>
  </si>
  <si>
    <t>Ariel</t>
  </si>
  <si>
    <t>Miranda</t>
  </si>
  <si>
    <t>Oberon</t>
  </si>
  <si>
    <t>Titania</t>
  </si>
  <si>
    <t>Umbriel</t>
  </si>
  <si>
    <t>Neptune</t>
  </si>
  <si>
    <t>Triton</t>
  </si>
  <si>
    <t>Pluto</t>
  </si>
  <si>
    <t>Charon</t>
  </si>
  <si>
    <t>Sun J</t>
  </si>
  <si>
    <t>JNSQ</t>
  </si>
  <si>
    <t>Moho J</t>
  </si>
  <si>
    <t>Eve J</t>
  </si>
  <si>
    <t>Gilly J</t>
  </si>
  <si>
    <t>Kerbin J</t>
  </si>
  <si>
    <t>Mun J</t>
  </si>
  <si>
    <t>Minmus J</t>
  </si>
  <si>
    <t>Duna J</t>
  </si>
  <si>
    <t>Ike J</t>
  </si>
  <si>
    <t>Edna J</t>
  </si>
  <si>
    <t>Dak J</t>
  </si>
  <si>
    <t>Edna</t>
  </si>
  <si>
    <t>Dres J</t>
  </si>
  <si>
    <t>Jool J</t>
  </si>
  <si>
    <t>Laythe J</t>
  </si>
  <si>
    <t>Vall J</t>
  </si>
  <si>
    <t>Tylo J</t>
  </si>
  <si>
    <t>Bop J</t>
  </si>
  <si>
    <t>Pol J</t>
  </si>
  <si>
    <t>Lindor</t>
  </si>
  <si>
    <t>Krel</t>
  </si>
  <si>
    <t>Aden</t>
  </si>
  <si>
    <t>Huygen</t>
  </si>
  <si>
    <t>Riga</t>
  </si>
  <si>
    <t>Talos</t>
  </si>
  <si>
    <t>Eeloo J</t>
  </si>
  <si>
    <t>Celes</t>
  </si>
  <si>
    <t>Tam</t>
  </si>
  <si>
    <t>Hamek</t>
  </si>
  <si>
    <t>Nara</t>
  </si>
  <si>
    <t>Amos</t>
  </si>
  <si>
    <t>Enon</t>
  </si>
  <si>
    <t>Prax</t>
  </si>
  <si>
    <t>64-85</t>
  </si>
  <si>
    <t>NF</t>
  </si>
  <si>
    <t>96-8S</t>
  </si>
  <si>
    <t>AE-1</t>
  </si>
  <si>
    <t>AE-2</t>
  </si>
  <si>
    <t>AE-2B</t>
  </si>
  <si>
    <t>CE-10</t>
  </si>
  <si>
    <t>CR-9B</t>
  </si>
  <si>
    <t>LH2</t>
  </si>
  <si>
    <t>Ox</t>
  </si>
  <si>
    <t>Hours in Day:</t>
  </si>
  <si>
    <t>Supplies per Day:</t>
  </si>
  <si>
    <t>CE-2X</t>
  </si>
  <si>
    <t>CE-60P</t>
  </si>
  <si>
    <t>CE-60T</t>
  </si>
  <si>
    <t>CR-0120</t>
  </si>
  <si>
    <t>CR-10A</t>
  </si>
  <si>
    <t>CR-2</t>
  </si>
  <si>
    <t>CR-68</t>
  </si>
  <si>
    <t>FM-1</t>
  </si>
  <si>
    <t>FI-1124</t>
  </si>
  <si>
    <t>FI-2154</t>
  </si>
  <si>
    <t>Argon</t>
  </si>
  <si>
    <t>F3S0</t>
  </si>
  <si>
    <t>THK</t>
  </si>
  <si>
    <t>GW0101</t>
  </si>
  <si>
    <t>GW3</t>
  </si>
  <si>
    <t>GW7201</t>
  </si>
  <si>
    <t>IX-6315N</t>
  </si>
  <si>
    <t>IX-8219</t>
  </si>
  <si>
    <t>J-N500</t>
  </si>
  <si>
    <t>KP-01</t>
  </si>
  <si>
    <t>KP-XL</t>
  </si>
  <si>
    <t>KR-1</t>
  </si>
  <si>
    <t>KR-10A</t>
  </si>
  <si>
    <t>KX-XK</t>
  </si>
  <si>
    <t>LF-1</t>
  </si>
  <si>
    <t>Lithium</t>
  </si>
  <si>
    <t>LF-2</t>
  </si>
  <si>
    <t>LF-9</t>
  </si>
  <si>
    <t>LV-303</t>
  </si>
  <si>
    <t>LV-601</t>
  </si>
  <si>
    <t>LV-601-4</t>
  </si>
  <si>
    <t>LV-95</t>
  </si>
  <si>
    <t>LV-95-6</t>
  </si>
  <si>
    <t>LV-N LF</t>
  </si>
  <si>
    <t>LV-N LH2</t>
  </si>
  <si>
    <t>LV-N410</t>
  </si>
  <si>
    <t>LV-T15</t>
  </si>
  <si>
    <t>M1</t>
  </si>
  <si>
    <t>M1-V</t>
  </si>
  <si>
    <t>M4</t>
  </si>
  <si>
    <t>Mk-1H</t>
  </si>
  <si>
    <t>MS-18</t>
  </si>
  <si>
    <t>NV-10</t>
  </si>
  <si>
    <t>NV-100</t>
  </si>
  <si>
    <t>NV-100OX</t>
  </si>
  <si>
    <t>NV-50</t>
  </si>
  <si>
    <t>NV-50OX</t>
  </si>
  <si>
    <t>NV-500</t>
  </si>
  <si>
    <t>NV-500OX</t>
  </si>
  <si>
    <t>NV-DC</t>
  </si>
  <si>
    <t>NV-DC OX</t>
  </si>
  <si>
    <t>NV-GE</t>
  </si>
  <si>
    <t>NV-GL</t>
  </si>
  <si>
    <t>NV-GX</t>
  </si>
  <si>
    <t>EnrU</t>
  </si>
  <si>
    <t>S2-17</t>
  </si>
  <si>
    <t>S2-33</t>
  </si>
  <si>
    <t>VW-10K A</t>
  </si>
  <si>
    <t>VW-10K X</t>
  </si>
  <si>
    <t>VW-10K A thrust</t>
  </si>
  <si>
    <t>VW-10K A isp</t>
  </si>
  <si>
    <t>VW-10K X thrust</t>
  </si>
  <si>
    <t>VW-10K X isp</t>
  </si>
  <si>
    <t>VW-200 A</t>
  </si>
  <si>
    <t>VW-200 A thrust</t>
  </si>
  <si>
    <t>VW-200 A isp</t>
  </si>
  <si>
    <t>VW-200 X</t>
  </si>
  <si>
    <t>VW-200 X thrust</t>
  </si>
  <si>
    <t>VW-200 X isp</t>
  </si>
  <si>
    <t>VW-100 A</t>
  </si>
  <si>
    <t>VW-100 A thrust</t>
  </si>
  <si>
    <t>VW-100 A isp</t>
  </si>
  <si>
    <t>VW-100 X</t>
  </si>
  <si>
    <t>VW-100 X thrust</t>
  </si>
  <si>
    <t>VW-100 X isp</t>
  </si>
  <si>
    <t>RestockP</t>
  </si>
  <si>
    <t>Mini ISRU</t>
  </si>
  <si>
    <t>fert/s</t>
  </si>
  <si>
    <t>SSPX</t>
  </si>
  <si>
    <t xml:space="preserve">PTD-8R 'Pier' Station Core </t>
  </si>
  <si>
    <t xml:space="preserve">PPD-8 'Wharf' Station Core </t>
  </si>
  <si>
    <t xml:space="preserve">PXL-10 'Harbour' Station Control Centre </t>
  </si>
  <si>
    <t xml:space="preserve">PTD-6 'Star' Utility Module </t>
  </si>
  <si>
    <t xml:space="preserve">PXL-2 'Fate' Deep-Space Laboratory Module </t>
  </si>
  <si>
    <t xml:space="preserve">PXL-F15H Aquaculture Module </t>
  </si>
  <si>
    <t xml:space="preserve">PPD-F412M Hydroponics Module </t>
  </si>
  <si>
    <t xml:space="preserve">PXL-R4NCH-3R Hydroponics Module </t>
  </si>
  <si>
    <t>GC</t>
  </si>
  <si>
    <t>Ground Assembly Line</t>
  </si>
  <si>
    <t>Mobile Workshop</t>
  </si>
  <si>
    <t>Orbital Assembly Line</t>
  </si>
  <si>
    <t xml:space="preserve">HG-61 </t>
  </si>
  <si>
    <t xml:space="preserve">DTS-J1 </t>
  </si>
  <si>
    <t xml:space="preserve">D-50 Large Spot Antenna </t>
  </si>
  <si>
    <t xml:space="preserve">D-2 Spot Antenna </t>
  </si>
  <si>
    <t>IXS Command Module</t>
  </si>
  <si>
    <t>iHAL</t>
  </si>
  <si>
    <t>CommandCenter Dome</t>
  </si>
  <si>
    <t>X-ray Free Electron Laser Transmitter</t>
  </si>
  <si>
    <t>Solar Thermal Power Mirror Receiver</t>
  </si>
  <si>
    <t>Inline Solar Thermal Receiver Dish</t>
  </si>
  <si>
    <t xml:space="preserve">RFL-1 Dish Reflector </t>
  </si>
  <si>
    <t xml:space="preserve">RFL-2 Medium Dish Reflector </t>
  </si>
  <si>
    <t xml:space="preserve">RFL-3 Dish Reflector Array </t>
  </si>
  <si>
    <t xml:space="preserve">RFL-50 Large Dish Reflector </t>
  </si>
  <si>
    <t xml:space="preserve">RFL-100 Giant Dish Reflector </t>
  </si>
  <si>
    <t xml:space="preserve">RFL-2000 Dish Reflector Array </t>
  </si>
  <si>
    <t>FeedScale</t>
  </si>
  <si>
    <t>HG-20</t>
  </si>
  <si>
    <t>Ant.Modifier</t>
  </si>
  <si>
    <t>EC</t>
  </si>
  <si>
    <t>AX-4</t>
  </si>
  <si>
    <t>AX-5</t>
  </si>
  <si>
    <t>AX-30</t>
  </si>
  <si>
    <t>PH-1</t>
  </si>
  <si>
    <t>PH-2</t>
  </si>
  <si>
    <t>PH-3</t>
  </si>
  <si>
    <t>RA-X1</t>
  </si>
  <si>
    <t>RA-X2</t>
  </si>
  <si>
    <t>RA-X3</t>
  </si>
  <si>
    <t>RA-0-8</t>
  </si>
  <si>
    <t>RA-5B</t>
  </si>
  <si>
    <t>RA-00-2</t>
  </si>
  <si>
    <t>F-DA</t>
  </si>
  <si>
    <t>F-RA</t>
  </si>
  <si>
    <t>DR-1</t>
  </si>
  <si>
    <t>DR-3</t>
  </si>
  <si>
    <t>Mixture Rates, Unit Mass</t>
  </si>
  <si>
    <t>Modifier</t>
  </si>
  <si>
    <t>V LH2</t>
  </si>
  <si>
    <t>V Lithium</t>
  </si>
  <si>
    <t>V Argon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</si>
</sst>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0.000"/>
    <numFmt numFmtId="166" formatCode="0.0000"/>
    <numFmt numFmtId="167" formatCode="0.00000"/>
    <numFmt numFmtId="168" formatCode="#,##0.000"/>
    <numFmt numFmtId="169" formatCode="0.0%"/>
    <numFmt numFmtId="170" formatCode="#,##0.0"/>
    <numFmt numFmtId="171" formatCode="0.0000000000"/>
    <numFmt numFmtId="172" formatCode="0.00000000"/>
    <numFmt numFmtId="173" formatCode="0.000000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rgb="FF222222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NumberFormat="1" applyAlignment="1">
      <alignment wrapText="1"/>
    </xf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0" fillId="0" borderId="1" xfId="0" applyBorder="1"/>
    <xf numFmtId="168" fontId="0" fillId="0" borderId="1" xfId="0" applyNumberFormat="1" applyBorder="1"/>
    <xf numFmtId="169" fontId="0" fillId="0" borderId="1" xfId="0" applyNumberFormat="1" applyBorder="1"/>
    <xf numFmtId="168" fontId="0" fillId="0" borderId="2" xfId="0" applyNumberFormat="1" applyBorder="1"/>
    <xf numFmtId="0" fontId="1" fillId="0" borderId="1" xfId="0" applyFont="1" applyFill="1" applyBorder="1"/>
    <xf numFmtId="0" fontId="0" fillId="0" borderId="3" xfId="0" applyBorder="1"/>
    <xf numFmtId="0" fontId="1" fillId="0" borderId="3" xfId="0" applyFont="1" applyBorder="1"/>
    <xf numFmtId="4" fontId="0" fillId="0" borderId="1" xfId="0" applyNumberFormat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0" borderId="1" xfId="0" applyFont="1" applyBorder="1"/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165" fontId="1" fillId="0" borderId="1" xfId="0" applyNumberFormat="1" applyFont="1" applyBorder="1"/>
    <xf numFmtId="165" fontId="0" fillId="0" borderId="1" xfId="0" applyNumberFormat="1" applyBorder="1"/>
    <xf numFmtId="0" fontId="0" fillId="3" borderId="0" xfId="0" applyFill="1"/>
    <xf numFmtId="2" fontId="0" fillId="0" borderId="0" xfId="0" applyNumberFormat="1" applyFill="1"/>
    <xf numFmtId="0" fontId="0" fillId="0" borderId="0" xfId="0" applyFill="1"/>
    <xf numFmtId="1" fontId="0" fillId="3" borderId="0" xfId="0" applyNumberFormat="1" applyFill="1"/>
    <xf numFmtId="0" fontId="1" fillId="3" borderId="0" xfId="0" applyFont="1" applyFill="1"/>
    <xf numFmtId="170" fontId="0" fillId="0" borderId="1" xfId="0" applyNumberFormat="1" applyBorder="1"/>
    <xf numFmtId="0" fontId="0" fillId="0" borderId="0" xfId="0" applyFont="1"/>
    <xf numFmtId="165" fontId="0" fillId="0" borderId="0" xfId="0" applyNumberFormat="1" applyFont="1"/>
    <xf numFmtId="165" fontId="6" fillId="0" borderId="0" xfId="0" applyNumberFormat="1" applyFont="1"/>
    <xf numFmtId="165" fontId="0" fillId="3" borderId="0" xfId="0" applyNumberFormat="1" applyFill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 applyBorder="1"/>
    <xf numFmtId="164" fontId="1" fillId="0" borderId="0" xfId="0" applyNumberFormat="1" applyFont="1" applyBorder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Alignment="1"/>
    <xf numFmtId="2" fontId="0" fillId="0" borderId="0" xfId="0" applyNumberFormat="1" applyBorder="1" applyAlignment="1"/>
    <xf numFmtId="164" fontId="0" fillId="0" borderId="0" xfId="0" applyNumberFormat="1" applyBorder="1" applyAlignment="1"/>
    <xf numFmtId="0" fontId="1" fillId="0" borderId="0" xfId="0" applyFont="1" applyBorder="1"/>
    <xf numFmtId="0" fontId="0" fillId="0" borderId="0" xfId="0" applyFill="1" applyBorder="1"/>
    <xf numFmtId="0" fontId="0" fillId="0" borderId="0" xfId="0" applyFill="1" applyAlignment="1"/>
    <xf numFmtId="0" fontId="0" fillId="2" borderId="0" xfId="0" applyFill="1" applyAlignment="1"/>
    <xf numFmtId="164" fontId="1" fillId="0" borderId="0" xfId="0" applyNumberFormat="1" applyFont="1" applyBorder="1" applyAlignment="1"/>
    <xf numFmtId="3" fontId="0" fillId="0" borderId="1" xfId="0" applyNumberFormat="1" applyBorder="1"/>
    <xf numFmtId="0" fontId="0" fillId="0" borderId="1" xfId="0" applyFont="1" applyBorder="1"/>
    <xf numFmtId="1" fontId="0" fillId="0" borderId="1" xfId="0" applyNumberFormat="1" applyBorder="1"/>
    <xf numFmtId="0" fontId="0" fillId="0" borderId="8" xfId="0" applyBorder="1"/>
    <xf numFmtId="0" fontId="0" fillId="0" borderId="0" xfId="0" applyFont="1" applyBorder="1"/>
    <xf numFmtId="165" fontId="0" fillId="0" borderId="0" xfId="0" applyNumberFormat="1" applyFont="1" applyBorder="1"/>
    <xf numFmtId="2" fontId="0" fillId="0" borderId="0" xfId="0" applyNumberFormat="1" applyFont="1" applyBorder="1"/>
    <xf numFmtId="1" fontId="0" fillId="0" borderId="0" xfId="0" applyNumberFormat="1" applyFont="1" applyBorder="1"/>
    <xf numFmtId="1" fontId="1" fillId="2" borderId="1" xfId="0" applyNumberFormat="1" applyFont="1" applyFill="1" applyBorder="1"/>
    <xf numFmtId="168" fontId="1" fillId="0" borderId="1" xfId="0" applyNumberFormat="1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171" fontId="0" fillId="0" borderId="0" xfId="0" applyNumberFormat="1"/>
    <xf numFmtId="165" fontId="1" fillId="0" borderId="0" xfId="0" applyNumberFormat="1" applyFont="1"/>
    <xf numFmtId="164" fontId="1" fillId="0" borderId="0" xfId="0" applyNumberFormat="1" applyFont="1"/>
    <xf numFmtId="0" fontId="0" fillId="0" borderId="0" xfId="0" applyAlignment="1">
      <alignment horizontal="center" vertical="center"/>
    </xf>
    <xf numFmtId="0" fontId="0" fillId="2" borderId="0" xfId="0" applyFill="1"/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2" borderId="0" xfId="0" applyFont="1" applyFill="1"/>
    <xf numFmtId="0" fontId="0" fillId="0" borderId="0" xfId="0" applyFont="1" applyFill="1"/>
    <xf numFmtId="0" fontId="2" fillId="0" borderId="0" xfId="0" applyFont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left" vertical="center"/>
    </xf>
    <xf numFmtId="0" fontId="0" fillId="4" borderId="0" xfId="0" applyFill="1"/>
    <xf numFmtId="2" fontId="0" fillId="0" borderId="0" xfId="0" applyNumberFormat="1" applyAlignment="1">
      <alignment wrapText="1"/>
    </xf>
    <xf numFmtId="172" fontId="0" fillId="0" borderId="0" xfId="0" applyNumberFormat="1"/>
    <xf numFmtId="173" fontId="0" fillId="0" borderId="0" xfId="0" applyNumberFormat="1"/>
    <xf numFmtId="165" fontId="0" fillId="0" borderId="0" xfId="0" applyNumberFormat="1" applyBorder="1"/>
    <xf numFmtId="0" fontId="4" fillId="0" borderId="4" xfId="0" applyFont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0" borderId="0" xfId="0" applyFont="1" applyFill="1"/>
    <xf numFmtId="164" fontId="0" fillId="0" borderId="0" xfId="0" applyNumberFormat="1" applyFill="1"/>
    <xf numFmtId="2" fontId="1" fillId="0" borderId="0" xfId="0" applyNumberFormat="1" applyFont="1" applyFill="1"/>
    <xf numFmtId="1" fontId="0" fillId="0" borderId="0" xfId="0" applyNumberFormat="1" applyFill="1"/>
    <xf numFmtId="165" fontId="0" fillId="0" borderId="0" xfId="0" applyNumberFormat="1" applyFill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19"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</dxf>
    <dxf>
      <numFmt numFmtId="164" formatCode="0.0"/>
    </dxf>
    <dxf>
      <numFmt numFmtId="2" formatCode="0.0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2" formatCode="0.00"/>
    </dxf>
    <dxf>
      <numFmt numFmtId="2" formatCode="0.00"/>
    </dxf>
    <dxf>
      <numFmt numFmtId="166" formatCode="0.0000"/>
    </dxf>
    <dxf>
      <numFmt numFmtId="166" formatCode="0.0000"/>
    </dxf>
    <dxf>
      <numFmt numFmtId="164" formatCode="0.0"/>
    </dxf>
    <dxf>
      <numFmt numFmtId="165" formatCode="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142875</xdr:colOff>
      <xdr:row>44</xdr:row>
      <xdr:rowOff>95250</xdr:rowOff>
    </xdr:from>
    <xdr:to>
      <xdr:col>4</xdr:col>
      <xdr:colOff>352425</xdr:colOff>
      <xdr:row>48</xdr:row>
      <xdr:rowOff>85725</xdr:rowOff>
    </xdr:to>
    <xdr:sp macro="" textlink="">
      <xdr:nvSpPr>
        <xdr:cNvPr id="1043" name="Text Box 19" hidden="1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304925" y="4667250"/>
          <a:ext cx="1371600" cy="752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142875</xdr:colOff>
      <xdr:row>44</xdr:row>
      <xdr:rowOff>95250</xdr:rowOff>
    </xdr:from>
    <xdr:to>
      <xdr:col>5</xdr:col>
      <xdr:colOff>352425</xdr:colOff>
      <xdr:row>48</xdr:row>
      <xdr:rowOff>85725</xdr:rowOff>
    </xdr:to>
    <xdr:sp macro="" textlink="">
      <xdr:nvSpPr>
        <xdr:cNvPr id="1044" name="Text Box 20" hidden="1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885950" y="4667250"/>
          <a:ext cx="1371600" cy="752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151</xdr:row>
      <xdr:rowOff>19050</xdr:rowOff>
    </xdr:from>
    <xdr:to>
      <xdr:col>14</xdr:col>
      <xdr:colOff>846535</xdr:colOff>
      <xdr:row>181</xdr:row>
      <xdr:rowOff>18336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7305675"/>
          <a:ext cx="9523810" cy="57142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Engines" displayName="Engines" ref="A1:J129" totalsRowShown="0">
  <autoFilter ref="A1:J129">
    <filterColumn colId="9">
      <filters>
        <filter val="MH"/>
        <filter val="NF"/>
        <filter val="RestockP"/>
        <filter val="Stock"/>
      </filters>
    </filterColumn>
  </autoFilter>
  <tableColumns count="10">
    <tableColumn id="1" name="Engine"/>
    <tableColumn id="2" name="M"/>
    <tableColumn id="3" name="F asl" dataDxfId="18">
      <calculatedColumnFormula>E2*D2/F2</calculatedColumnFormula>
    </tableColumn>
    <tableColumn id="4" name="Isp asl"/>
    <tableColumn id="5" name="F vac" dataDxfId="17"/>
    <tableColumn id="6" name="Isp vac"/>
    <tableColumn id="7" name="D lf" dataDxfId="16">
      <calculatedColumnFormula>90*E2/(F2*K$1)</calculatedColumnFormula>
    </tableColumn>
    <tableColumn id="8" name="D ox" dataDxfId="15">
      <calculatedColumnFormula>110*E2/(F2*K$1)</calculatedColumnFormula>
    </tableColumn>
    <tableColumn id="9" name="TMR" dataDxfId="14">
      <calculatedColumnFormula>E2/B2</calculatedColumnFormula>
    </tableColumn>
    <tableColumn id="10" name="Mod" dataDxfId="13"/>
  </tableColumns>
  <tableStyleInfo name="TableStyleLight20" showFirstColumn="0" showLastColumn="0" showRowStripes="1" showColumnStripes="0"/>
</table>
</file>

<file path=xl/tables/table10.xml><?xml version="1.0" encoding="utf-8"?>
<table xmlns="http://schemas.openxmlformats.org/spreadsheetml/2006/main" id="8" name="Таблица8" displayName="Таблица8" ref="A1:W30" totalsRowShown="0">
  <autoFilter ref="A1:W30"/>
  <tableColumns count="23">
    <tableColumn id="1" name="Body"/>
    <tableColumn id="2" name="Biome"/>
    <tableColumn id="3" name="Ore"/>
    <tableColumn id="4" name="Alumina"/>
    <tableColumn id="5" name="Dirt"/>
    <tableColumn id="6" name="ExoMinerals"/>
    <tableColumn id="7" name="Gypsum"/>
    <tableColumn id="8" name="Hydrates"/>
    <tableColumn id="9" name="Karbonite"/>
    <tableColumn id="10" name="MetallicOre"/>
    <tableColumn id="11" name="Minerals"/>
    <tableColumn id="12" name="RareMetals"/>
    <tableColumn id="13" name="Regolith"/>
    <tableColumn id="14" name="Silicates"/>
    <tableColumn id="15" name="Spodumene"/>
    <tableColumn id="16" name="Substrate"/>
    <tableColumn id="17" name="Uranitite"/>
    <tableColumn id="18" name="Water"/>
    <tableColumn id="19" name="Borate"/>
    <tableColumn id="23" name="Fluorite"/>
    <tableColumn id="20" name="Monazite"/>
    <tableColumn id="21" name="Salt"/>
    <tableColumn id="22" name="Nitratine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4" name="Sensors" displayName="Sensors" ref="A113:C135" totalsRowShown="0" headerRowDxfId="12">
  <autoFilter ref="A113:C135">
    <filterColumn colId="2">
      <filters>
        <filter val="Stock"/>
      </filters>
    </filterColumn>
  </autoFilter>
  <tableColumns count="3">
    <tableColumn id="1" name="Sensor"/>
    <tableColumn id="2" name="Data Size"/>
    <tableColumn id="3" name="Mod"/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id="2" name="Antennas" displayName="Antennas" ref="A34:L110" totalsRowShown="0" headerRowDxfId="11">
  <autoFilter ref="A34:L110">
    <filterColumn colId="10">
      <filters>
        <filter val="NF"/>
        <filter val="RestockP"/>
        <filter val="Stock"/>
      </filters>
    </filterColumn>
  </autoFilter>
  <sortState ref="A35:K80">
    <sortCondition ref="B35:B80"/>
    <sortCondition ref="C35:C80"/>
    <sortCondition ref="K35:K80"/>
  </sortState>
  <tableColumns count="12">
    <tableColumn id="12" name="Name"/>
    <tableColumn id="1" name="Range"/>
    <tableColumn id="2" name="Type"/>
    <tableColumn id="3" name="Class"/>
    <tableColumn id="4" name="Packet"/>
    <tableColumn id="5" name="Interval" dataDxfId="10"/>
    <tableColumn id="6" name="Cost"/>
    <tableColumn id="7" name="Time" dataDxfId="9">
      <calculatedColumnFormula>(G$33/E35)*F35</calculatedColumnFormula>
    </tableColumn>
    <tableColumn id="8" name="EC" dataDxfId="8">
      <calculatedColumnFormula>MAX((G$33/E35)*G35-H35*I$33,0)</calculatedColumnFormula>
    </tableColumn>
    <tableColumn id="9" name="Comb." dataDxfId="7"/>
    <tableColumn id="10" name="Mod" dataDxfId="6"/>
    <tableColumn id="13" name="FeedScale" dataDxfId="5"/>
  </tableColumns>
  <tableStyleInfo name="TableStyleLight20" showFirstColumn="0" showLastColumn="0" showRowStripes="1" showColumnStripes="0"/>
</table>
</file>

<file path=xl/tables/table4.xml><?xml version="1.0" encoding="utf-8"?>
<table xmlns="http://schemas.openxmlformats.org/spreadsheetml/2006/main" id="9" name="Reflectors" displayName="Reflectors" ref="A137:C144" totalsRowShown="0">
  <autoFilter ref="A137:C144"/>
  <tableColumns count="3">
    <tableColumn id="1" name="Name"/>
    <tableColumn id="2" name="Range"/>
    <tableColumn id="3" name="Mod"/>
  </tableColumns>
  <tableStyleInfo name="TableStyleLight20" showFirstColumn="0" showLastColumn="0" showRowStripes="1" showColumnStripes="0"/>
</table>
</file>

<file path=xl/tables/table5.xml><?xml version="1.0" encoding="utf-8"?>
<table xmlns="http://schemas.openxmlformats.org/spreadsheetml/2006/main" id="10" name="Mods" displayName="Mods" ref="A146:B148" totalsRowShown="0">
  <autoFilter ref="A146:B148"/>
  <tableColumns count="2">
    <tableColumn id="1" name="Mod"/>
    <tableColumn id="2" name="Modifier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3" name="Planets" displayName="Planets" ref="A1:P125" totalsRowShown="0">
  <autoFilter ref="A1:P125">
    <filterColumn colId="8">
      <filters>
        <filter val="JNSQ"/>
      </filters>
    </filterColumn>
  </autoFilter>
  <tableColumns count="16">
    <tableColumn id="1" name="Planet"/>
    <tableColumn id="2" name="Radius"/>
    <tableColumn id="3" name="GM, km3/s2"/>
    <tableColumn id="4" name="Gravity" dataDxfId="4"/>
    <tableColumn id="5" name="Rotation"/>
    <tableColumn id="6" name="SOI"/>
    <tableColumn id="7" name="Hatm, km"/>
    <tableColumn id="8" name="Patm"/>
    <tableColumn id="10" name="Mod"/>
    <tableColumn id="11" name="O2"/>
    <tableColumn id="12" name="i"/>
    <tableColumn id="13" name="e"/>
    <tableColumn id="14" name="a" dataDxfId="3"/>
    <tableColumn id="15" name="Ap" dataDxfId="2">
      <calculatedColumnFormula>Planets[[#This Row],[a]]*(1+Planets[[#This Row],[e]])</calculatedColumnFormula>
    </tableColumn>
    <tableColumn id="16" name="Pe" dataDxfId="1">
      <calculatedColumnFormula>Planets[[#This Row],[a]]*(1-Planets[[#This Row],[e]])</calculatedColumnFormula>
    </tableColumn>
    <tableColumn id="17" name="Reference" dataDxfId="0"/>
  </tableColumns>
  <tableStyleInfo name="TableStyleLight20" showFirstColumn="0" showLastColumn="0" showRowStripes="1" showColumnStripes="0"/>
</table>
</file>

<file path=xl/tables/table7.xml><?xml version="1.0" encoding="utf-8"?>
<table xmlns="http://schemas.openxmlformats.org/spreadsheetml/2006/main" id="5" name="ScanSat" displayName="ScanSat" ref="A184:E188" totalsRowShown="0">
  <autoFilter ref="A184:E188"/>
  <tableColumns count="5">
    <tableColumn id="1" name="Scanner"/>
    <tableColumn id="2" name="FoV"/>
    <tableColumn id="3" name="H opt"/>
    <tableColumn id="4" name="H min"/>
    <tableColumn id="5" name="Hmax"/>
  </tableColumns>
  <tableStyleInfo name="TableStyleLight20" showFirstColumn="0" showLastColumn="0" showRowStripes="1" showColumnStripes="0"/>
</table>
</file>

<file path=xl/tables/table8.xml><?xml version="1.0" encoding="utf-8"?>
<table xmlns="http://schemas.openxmlformats.org/spreadsheetml/2006/main" id="6" name="Greenhouses" displayName="Greenhouses" ref="A21:P31" totalsRowShown="0">
  <autoFilter ref="A21:P31">
    <filterColumn colId="8">
      <filters blank="1">
        <filter val="LS"/>
        <filter val="SSPX"/>
      </filters>
    </filterColumn>
  </autoFilter>
  <tableColumns count="16">
    <tableColumn id="1" name="Module"/>
    <tableColumn id="2" name="Mulch-"/>
    <tableColumn id="3" name="Fertilizer-"/>
    <tableColumn id="4" name="Supplies+"/>
    <tableColumn id="5" name="EC-"/>
    <tableColumn id="6" name="Machinery-"/>
    <tableColumn id="7" name="Recyclables+"/>
    <tableColumn id="8" name="ReqMachin"/>
    <tableColumn id="9" name="Mod"/>
    <tableColumn id="10" name="UseSpecialistBonus"/>
    <tableColumn id="11" name="ExperienceEffect"/>
    <tableColumn id="12" name="EfficiencyTag"/>
    <tableColumn id="13" name="Supplies"/>
    <tableColumn id="14" name="Fertilizer"/>
    <tableColumn id="15" name="Mulch"/>
    <tableColumn id="16" name="ElectricCharge"/>
  </tableColumns>
  <tableStyleInfo name="TableStyleLight20" showFirstColumn="0" showLastColumn="0" showRowStripes="1" showColumnStripes="0"/>
</table>
</file>

<file path=xl/tables/table9.xml><?xml version="1.0" encoding="utf-8"?>
<table xmlns="http://schemas.openxmlformats.org/spreadsheetml/2006/main" id="7" name="Recyclers" displayName="Recyclers" ref="A35:I56" totalsRowShown="0">
  <autoFilter ref="A35:I56">
    <filterColumn colId="8">
      <filters>
        <filter val="LS"/>
        <filter val="SSPX"/>
      </filters>
    </filterColumn>
  </autoFilter>
  <tableColumns count="9">
    <tableColumn id="1" name="Module"/>
    <tableColumn id="2" name="RecyclePercent"/>
    <tableColumn id="3" name="CrewCapacity"/>
    <tableColumn id="4" name="Water-"/>
    <tableColumn id="5" name="EC-"/>
    <tableColumn id="6" name="Machinery-"/>
    <tableColumn id="7" name="Recyclables+"/>
    <tableColumn id="8" name="RequiredMachinery"/>
    <tableColumn id="9" name="Mod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vmlDrawing" Target="../drawings/vmlDrawing5.vm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6"/>
  <sheetViews>
    <sheetView workbookViewId="0">
      <pane ySplit="2" topLeftCell="A3" activePane="bottomLeft" state="frozen"/>
      <selection pane="bottomLeft" activeCell="A23" sqref="A23"/>
    </sheetView>
  </sheetViews>
  <sheetFormatPr defaultRowHeight="15" x14ac:dyDescent="0.25"/>
  <cols>
    <col min="1" max="12" width="8.7109375" customWidth="1"/>
    <col min="13" max="13" width="8.7109375" style="6" customWidth="1"/>
    <col min="14" max="20" width="8.7109375" customWidth="1"/>
    <col min="22" max="22" width="25.7109375" bestFit="1" customWidth="1"/>
  </cols>
  <sheetData>
    <row r="1" spans="1:22" x14ac:dyDescent="0.25">
      <c r="A1">
        <v>9.8066499999999994</v>
      </c>
      <c r="B1">
        <v>200</v>
      </c>
      <c r="C1">
        <v>200</v>
      </c>
      <c r="D1">
        <v>100</v>
      </c>
      <c r="E1">
        <f>1/Engines!L61</f>
        <v>14114.326040931546</v>
      </c>
      <c r="F1">
        <f>1/Engines!L55</f>
        <v>1872.6591760299627</v>
      </c>
      <c r="G1">
        <f>1/Engines!L46</f>
        <v>560538.11659192829</v>
      </c>
      <c r="H1">
        <v>10000</v>
      </c>
      <c r="I1">
        <v>250</v>
      </c>
      <c r="J1">
        <f>1/Engines!L49</f>
        <v>133.33333333333334</v>
      </c>
    </row>
    <row r="2" spans="1:22" x14ac:dyDescent="0.25">
      <c r="A2" t="s">
        <v>132</v>
      </c>
      <c r="B2" t="s">
        <v>0</v>
      </c>
      <c r="C2" t="s">
        <v>2</v>
      </c>
      <c r="D2" t="s">
        <v>1</v>
      </c>
      <c r="E2" t="s">
        <v>589</v>
      </c>
      <c r="F2" t="s">
        <v>590</v>
      </c>
      <c r="G2" t="s">
        <v>591</v>
      </c>
      <c r="H2" t="s">
        <v>3</v>
      </c>
      <c r="I2" t="s">
        <v>127</v>
      </c>
      <c r="J2" t="s">
        <v>31</v>
      </c>
      <c r="K2" t="s">
        <v>133</v>
      </c>
      <c r="L2" t="s">
        <v>134</v>
      </c>
      <c r="M2" s="6" t="s">
        <v>131</v>
      </c>
      <c r="N2" t="s">
        <v>7</v>
      </c>
      <c r="O2" t="s">
        <v>38</v>
      </c>
      <c r="P2" t="s">
        <v>4</v>
      </c>
      <c r="Q2" t="s">
        <v>128</v>
      </c>
      <c r="R2" t="s">
        <v>129</v>
      </c>
      <c r="S2" t="s">
        <v>130</v>
      </c>
      <c r="T2" t="s">
        <v>32</v>
      </c>
      <c r="U2" t="s">
        <v>33</v>
      </c>
      <c r="V2" t="s">
        <v>250</v>
      </c>
    </row>
    <row r="3" spans="1:22" hidden="1" x14ac:dyDescent="0.25">
      <c r="A3" s="5">
        <f>K3+L3</f>
        <v>863.74200000000008</v>
      </c>
      <c r="B3">
        <f>C3*9/11</f>
        <v>0</v>
      </c>
      <c r="C3" s="6">
        <v>0</v>
      </c>
      <c r="D3" s="30">
        <v>0</v>
      </c>
      <c r="E3" s="82">
        <v>0</v>
      </c>
      <c r="F3" s="82">
        <v>0</v>
      </c>
      <c r="G3" s="82">
        <v>0</v>
      </c>
      <c r="H3">
        <v>0</v>
      </c>
      <c r="I3">
        <v>0</v>
      </c>
      <c r="J3">
        <v>0</v>
      </c>
      <c r="K3" s="3">
        <f>B3/B$1+C3/C$1+D3/D$1+E3/E$1+F3/F$1+G3/G$1+H3/H$1+I3/I$1+J3/J$1</f>
        <v>0</v>
      </c>
      <c r="L3" s="27">
        <f>A4</f>
        <v>863.74200000000008</v>
      </c>
      <c r="M3" s="7">
        <f>O3*A$1*LN(A3/L3)</f>
        <v>0</v>
      </c>
      <c r="N3" s="29" t="s">
        <v>84</v>
      </c>
      <c r="O3">
        <f>VLOOKUP(N3,Engines[],COLUMN(Engines[Isp vac]),FALSE)</f>
        <v>319.70149253731347</v>
      </c>
      <c r="P3" s="2">
        <v>1</v>
      </c>
      <c r="Q3" s="2">
        <f>VLOOKUP(N3,Engines[],COLUMN(Engines[F vac]),FALSE)*P3</f>
        <v>10000</v>
      </c>
      <c r="R3" s="3">
        <f>Q3/A3</f>
        <v>11.577531253545619</v>
      </c>
      <c r="S3" s="3">
        <f>Q3/L3</f>
        <v>11.577531253545619</v>
      </c>
      <c r="T3" s="2">
        <f>K3*O3*A$1/Q3</f>
        <v>0</v>
      </c>
      <c r="U3" s="3">
        <f>T3/60</f>
        <v>0</v>
      </c>
      <c r="V3" t="s">
        <v>46</v>
      </c>
    </row>
    <row r="4" spans="1:22" hidden="1" x14ac:dyDescent="0.25">
      <c r="A4" s="5">
        <f>K4+L4</f>
        <v>863.74200000000008</v>
      </c>
      <c r="B4">
        <f>C4*9/11</f>
        <v>45378</v>
      </c>
      <c r="C4">
        <f>C6-C3-C5</f>
        <v>55462</v>
      </c>
      <c r="D4">
        <f>D6-D3-D5</f>
        <v>18000</v>
      </c>
      <c r="E4" s="28">
        <v>0</v>
      </c>
      <c r="F4" s="28">
        <v>0</v>
      </c>
      <c r="G4" s="28">
        <v>0</v>
      </c>
      <c r="H4">
        <v>0</v>
      </c>
      <c r="I4">
        <v>0</v>
      </c>
      <c r="J4">
        <v>0</v>
      </c>
      <c r="K4" s="3">
        <f t="shared" ref="K4:K5" si="0">B4/B$1+C4/C$1+D4/D$1+E4/E$1+F4/F$1+G4/G$1+H4/H$1+I4/I$1+J4/J$1</f>
        <v>684.2</v>
      </c>
      <c r="L4" s="27">
        <f>A5</f>
        <v>179.542</v>
      </c>
      <c r="M4" s="7">
        <f>O4*A$1*LN(A4/L4)</f>
        <v>5237.67373656575</v>
      </c>
      <c r="N4" s="29" t="s">
        <v>14</v>
      </c>
      <c r="O4" s="3">
        <f>VLOOKUP(N4,Engines[],COLUMN(Engines[Isp vac]),FALSE)</f>
        <v>340</v>
      </c>
      <c r="P4" s="2">
        <v>1</v>
      </c>
      <c r="Q4" s="2">
        <f>VLOOKUP(N4,Engines[],COLUMN(Engines[F vac]),FALSE)*P4</f>
        <v>2000</v>
      </c>
      <c r="R4" s="3">
        <f>Q4/A4</f>
        <v>2.3155062507091237</v>
      </c>
      <c r="S4" s="3">
        <f>Q4/L4</f>
        <v>11.139454835080372</v>
      </c>
      <c r="T4" s="2">
        <f>K4*O4*A$1/Q4</f>
        <v>1140.6506881000003</v>
      </c>
      <c r="U4" s="3">
        <f>T4/60</f>
        <v>19.010844801666671</v>
      </c>
      <c r="V4" t="s">
        <v>46</v>
      </c>
    </row>
    <row r="5" spans="1:22" hidden="1" x14ac:dyDescent="0.25">
      <c r="A5" s="3">
        <f>K5+L5</f>
        <v>179.542</v>
      </c>
      <c r="B5">
        <f>C5*9/11</f>
        <v>0</v>
      </c>
      <c r="C5" s="30">
        <v>0</v>
      </c>
      <c r="D5" s="30">
        <v>0</v>
      </c>
      <c r="E5" s="82">
        <v>0</v>
      </c>
      <c r="F5" s="82">
        <v>0</v>
      </c>
      <c r="G5" s="82">
        <v>0</v>
      </c>
      <c r="H5">
        <v>0</v>
      </c>
      <c r="I5">
        <v>0</v>
      </c>
      <c r="J5">
        <v>0</v>
      </c>
      <c r="K5" s="3">
        <f t="shared" si="0"/>
        <v>0</v>
      </c>
      <c r="L5" s="27">
        <v>179.542</v>
      </c>
      <c r="M5" s="7">
        <f>O5*A$1*LN(A5/L5)</f>
        <v>0</v>
      </c>
      <c r="N5" s="29" t="s">
        <v>84</v>
      </c>
      <c r="O5">
        <f>VLOOKUP(N5,Engines[],COLUMN(Engines[Isp vac]),FALSE)</f>
        <v>319.70149253731347</v>
      </c>
      <c r="P5" s="2">
        <v>1</v>
      </c>
      <c r="Q5" s="2">
        <f>VLOOKUP(N5,Engines[],COLUMN(Engines[F vac]),FALSE)*P5</f>
        <v>10000</v>
      </c>
      <c r="R5" s="3">
        <f>Q5/A5</f>
        <v>55.697274175401859</v>
      </c>
      <c r="S5" s="3">
        <f>Q5/L5</f>
        <v>55.697274175401859</v>
      </c>
      <c r="T5" s="2">
        <f>K5*O5*A$1/Q5</f>
        <v>0</v>
      </c>
      <c r="U5" s="3">
        <f>T5/60</f>
        <v>0</v>
      </c>
      <c r="V5" t="s">
        <v>46</v>
      </c>
    </row>
    <row r="6" spans="1:22" hidden="1" x14ac:dyDescent="0.25">
      <c r="A6" s="3"/>
      <c r="B6" s="30">
        <v>45378</v>
      </c>
      <c r="C6" s="30">
        <v>55462</v>
      </c>
      <c r="D6" s="30">
        <v>18000</v>
      </c>
      <c r="E6" s="82"/>
      <c r="F6" s="82"/>
      <c r="G6" s="82"/>
      <c r="K6" s="3"/>
      <c r="L6" s="27"/>
      <c r="M6" s="7">
        <f>SUM(M3:M5)</f>
        <v>5237.67373656575</v>
      </c>
      <c r="N6" s="29"/>
      <c r="O6" s="3"/>
      <c r="P6" s="2"/>
      <c r="Q6" s="2"/>
      <c r="R6" s="3"/>
      <c r="S6" s="3"/>
      <c r="T6" s="2"/>
      <c r="U6" s="3"/>
    </row>
    <row r="7" spans="1:22" hidden="1" x14ac:dyDescent="0.25">
      <c r="L7" s="28"/>
      <c r="N7" s="26"/>
    </row>
    <row r="8" spans="1:22" hidden="1" x14ac:dyDescent="0.25">
      <c r="A8" s="3">
        <f>K8+L8</f>
        <v>28.336000000000002</v>
      </c>
      <c r="B8" s="4">
        <f>C8*Engines!G38/Engines!H38</f>
        <v>0</v>
      </c>
      <c r="C8">
        <f>C11-C10</f>
        <v>0</v>
      </c>
      <c r="D8">
        <v>0</v>
      </c>
      <c r="E8" s="82">
        <v>0</v>
      </c>
      <c r="F8" s="82">
        <v>0</v>
      </c>
      <c r="G8" s="82">
        <v>0</v>
      </c>
      <c r="H8">
        <v>0</v>
      </c>
      <c r="I8">
        <v>0</v>
      </c>
      <c r="J8">
        <v>0</v>
      </c>
      <c r="K8" s="3">
        <f>B8/B$1+C8/C$1+D8/D$1+E8/E$1+F8/F$1+G8/G$1+H8/H$1+I8/I$1+J8/J$1</f>
        <v>0</v>
      </c>
      <c r="L8" s="27">
        <f>A9</f>
        <v>28.336000000000002</v>
      </c>
      <c r="M8" s="7">
        <f>O8*A$1*LN(A8/L8)</f>
        <v>0</v>
      </c>
      <c r="N8" s="29" t="s">
        <v>85</v>
      </c>
      <c r="O8">
        <f>VLOOKUP(N8,Engines[],COLUMN(Engines[Isp vac]),FALSE)</f>
        <v>334.57394711067582</v>
      </c>
      <c r="P8" s="2">
        <v>1</v>
      </c>
      <c r="Q8" s="2">
        <f>VLOOKUP(N8,Engines[],COLUMN(Engines[F vac]),FALSE)*P8</f>
        <v>420</v>
      </c>
      <c r="R8" s="3">
        <f>Q8/A8</f>
        <v>14.822134387351777</v>
      </c>
      <c r="S8" s="3">
        <f>Q8/L8</f>
        <v>14.822134387351777</v>
      </c>
      <c r="T8" s="2">
        <f>K8*O8*A$1/Q8</f>
        <v>0</v>
      </c>
      <c r="U8" s="3">
        <f>T8/60</f>
        <v>0</v>
      </c>
      <c r="V8" t="s">
        <v>275</v>
      </c>
    </row>
    <row r="9" spans="1:22" hidden="1" x14ac:dyDescent="0.25">
      <c r="A9" s="3">
        <f>K9+L9</f>
        <v>28.336000000000002</v>
      </c>
      <c r="B9" s="4">
        <f>B11-B8-B10</f>
        <v>-4.1306818181818699</v>
      </c>
      <c r="C9">
        <v>0</v>
      </c>
      <c r="D9">
        <v>0</v>
      </c>
      <c r="E9" s="28">
        <v>0</v>
      </c>
      <c r="F9" s="28">
        <v>0</v>
      </c>
      <c r="G9" s="28">
        <v>0</v>
      </c>
      <c r="H9">
        <v>0</v>
      </c>
      <c r="I9">
        <v>0</v>
      </c>
      <c r="J9">
        <v>0</v>
      </c>
      <c r="K9" s="3">
        <f t="shared" ref="K9:K10" si="1">B9/B$1+C9/C$1+D9/D$1+E9/E$1+F9/F$1+G9/G$1+H9/H$1+I9/I$1+J9/J$1</f>
        <v>-2.0653409090909351E-2</v>
      </c>
      <c r="L9" s="27">
        <f>A10</f>
        <v>28.35665340909091</v>
      </c>
      <c r="M9" s="7">
        <f>O9*A$1*LN(A9/L9)</f>
        <v>-5.7161766413751298</v>
      </c>
      <c r="N9" s="29" t="s">
        <v>18</v>
      </c>
      <c r="O9">
        <f>VLOOKUP(N9,Engines[],COLUMN(Engines[Isp vac]),FALSE)</f>
        <v>800</v>
      </c>
      <c r="P9" s="2">
        <v>1</v>
      </c>
      <c r="Q9" s="2">
        <f>VLOOKUP(N9,Engines[],COLUMN(Engines[F vac]),FALSE)*P9</f>
        <v>60</v>
      </c>
      <c r="R9" s="3">
        <f>Q9/A9</f>
        <v>2.1174477696216827</v>
      </c>
      <c r="S9" s="3">
        <f>Q9/L9</f>
        <v>2.1159055384428576</v>
      </c>
      <c r="T9" s="2">
        <f>K9*O9*A$1/Q9</f>
        <v>-2.700543390151549</v>
      </c>
      <c r="U9" s="3">
        <f>T9/60</f>
        <v>-4.5009056502525818E-2</v>
      </c>
      <c r="V9" t="s">
        <v>275</v>
      </c>
    </row>
    <row r="10" spans="1:22" hidden="1" x14ac:dyDescent="0.25">
      <c r="A10" s="3">
        <f>K10+L10</f>
        <v>28.35665340909091</v>
      </c>
      <c r="B10" s="4">
        <f>C10*Engines!G38/Engines!H38</f>
        <v>815.13068181818187</v>
      </c>
      <c r="C10" s="30">
        <v>873</v>
      </c>
      <c r="D10">
        <v>0</v>
      </c>
      <c r="E10" s="82">
        <v>0</v>
      </c>
      <c r="F10" s="82">
        <v>0</v>
      </c>
      <c r="G10" s="82">
        <v>0</v>
      </c>
      <c r="H10">
        <v>0</v>
      </c>
      <c r="I10">
        <v>0</v>
      </c>
      <c r="J10">
        <v>0</v>
      </c>
      <c r="K10" s="3">
        <f t="shared" si="1"/>
        <v>8.4406534090909098</v>
      </c>
      <c r="L10" s="27">
        <v>19.916</v>
      </c>
      <c r="M10" s="7">
        <f>O10*A$1*LN(A10/L10)</f>
        <v>1159.3203626796255</v>
      </c>
      <c r="N10" s="29" t="s">
        <v>85</v>
      </c>
      <c r="O10">
        <f>VLOOKUP(N10,Engines[],COLUMN(Engines[Isp vac]),FALSE)</f>
        <v>334.57394711067582</v>
      </c>
      <c r="P10" s="2">
        <v>1</v>
      </c>
      <c r="Q10" s="2">
        <f>VLOOKUP(N10,Engines[],COLUMN(Engines[F vac]),FALSE)*P10</f>
        <v>420</v>
      </c>
      <c r="R10" s="3">
        <f>Q10/A10</f>
        <v>14.811338769100004</v>
      </c>
      <c r="S10" s="3">
        <f>Q10/L10</f>
        <v>21.088572002410121</v>
      </c>
      <c r="T10" s="2">
        <f>K10*O10*A$1/Q10</f>
        <v>65.938577329545453</v>
      </c>
      <c r="U10" s="3">
        <f>T10/60</f>
        <v>1.0989762888257575</v>
      </c>
      <c r="V10" t="s">
        <v>275</v>
      </c>
    </row>
    <row r="11" spans="1:22" hidden="1" x14ac:dyDescent="0.25">
      <c r="B11" s="30">
        <v>811</v>
      </c>
      <c r="C11" s="30">
        <v>873</v>
      </c>
      <c r="M11" s="7">
        <f>SUM(M8:M10)</f>
        <v>1153.6041860382504</v>
      </c>
    </row>
    <row r="12" spans="1:22" hidden="1" x14ac:dyDescent="0.25">
      <c r="M12" s="7"/>
    </row>
    <row r="13" spans="1:22" hidden="1" x14ac:dyDescent="0.25">
      <c r="A13" s="3">
        <f>K13+L13</f>
        <v>320.15899999999999</v>
      </c>
      <c r="B13" s="4">
        <f>C13*Engines!G37/Engines!H37</f>
        <v>7757.3727272727274</v>
      </c>
      <c r="C13">
        <f>C16-C15</f>
        <v>9220</v>
      </c>
      <c r="D13">
        <v>0</v>
      </c>
      <c r="E13" s="82">
        <v>0</v>
      </c>
      <c r="F13" s="82">
        <v>0</v>
      </c>
      <c r="G13" s="82">
        <v>0</v>
      </c>
      <c r="H13">
        <v>0</v>
      </c>
      <c r="I13">
        <v>0</v>
      </c>
      <c r="J13">
        <v>0</v>
      </c>
      <c r="K13" s="3">
        <f>B13/B$1+C13/C$1+D13/D$1+E13/E$1+F13/F$1+G13/G$1+H13/H$1+I13/I$1+J13/J$1</f>
        <v>84.886863636363643</v>
      </c>
      <c r="L13" s="27">
        <f>A14</f>
        <v>235.27213636363638</v>
      </c>
      <c r="M13" s="7">
        <f>O13*A$1*LN(A13/L13)</f>
        <v>1044.6982039170157</v>
      </c>
      <c r="N13" s="29" t="s">
        <v>274</v>
      </c>
      <c r="O13">
        <f>VLOOKUP(N13,Engines[],COLUMN(Engines[Isp vac]),FALSE)</f>
        <v>345.79116267588245</v>
      </c>
      <c r="P13" s="2">
        <v>1</v>
      </c>
      <c r="Q13" s="2">
        <f>VLOOKUP(N13,Engines[],COLUMN(Engines[F vac]),FALSE)*P13</f>
        <v>4120</v>
      </c>
      <c r="R13" s="3">
        <f>Q13/A13</f>
        <v>12.868605911437754</v>
      </c>
      <c r="S13" s="3">
        <f>Q13/L13</f>
        <v>17.511635944989813</v>
      </c>
      <c r="T13" s="2">
        <f>K13*O13*A$1/Q13</f>
        <v>69.867923681818169</v>
      </c>
      <c r="U13" s="3">
        <f>T13/60</f>
        <v>1.1644653946969694</v>
      </c>
      <c r="V13" t="s">
        <v>274</v>
      </c>
    </row>
    <row r="14" spans="1:22" hidden="1" x14ac:dyDescent="0.25">
      <c r="A14" s="3">
        <f>K14+L14</f>
        <v>235.27213636363638</v>
      </c>
      <c r="B14" s="4">
        <f>B16-B13-B15</f>
        <v>4684.9000000000015</v>
      </c>
      <c r="C14">
        <v>0</v>
      </c>
      <c r="D14">
        <v>300</v>
      </c>
      <c r="E14" s="28">
        <v>0</v>
      </c>
      <c r="F14" s="28">
        <v>0</v>
      </c>
      <c r="G14" s="28">
        <v>0</v>
      </c>
      <c r="H14">
        <v>0</v>
      </c>
      <c r="I14">
        <v>0</v>
      </c>
      <c r="J14">
        <v>0</v>
      </c>
      <c r="K14" s="3">
        <f t="shared" ref="K14:K15" si="2">B14/B$1+C14/C$1+D14/D$1+E14/E$1+F14/F$1+G14/G$1+H14/H$1+I14/I$1+J14/J$1</f>
        <v>26.424500000000009</v>
      </c>
      <c r="L14" s="27">
        <f>A15</f>
        <v>208.84763636363635</v>
      </c>
      <c r="M14" s="7">
        <f>O14*A$1*LN(A14/L14)</f>
        <v>934.67493186294837</v>
      </c>
      <c r="N14" s="29" t="s">
        <v>18</v>
      </c>
      <c r="O14">
        <f>VLOOKUP(N14,Engines[],COLUMN(Engines[Isp vac]),FALSE)</f>
        <v>800</v>
      </c>
      <c r="P14" s="2">
        <v>2</v>
      </c>
      <c r="Q14" s="2">
        <f>VLOOKUP(N14,Engines[],COLUMN(Engines[F vac]),FALSE)*P14</f>
        <v>120</v>
      </c>
      <c r="R14" s="3">
        <f>Q14/A14</f>
        <v>0.51004764888319842</v>
      </c>
      <c r="S14" s="3">
        <f>Q14/L14</f>
        <v>0.57458155662849475</v>
      </c>
      <c r="T14" s="2">
        <f>K14*O14*A$1/Q14</f>
        <v>1727.5721528333338</v>
      </c>
      <c r="U14" s="3">
        <f>T14/60</f>
        <v>28.792869213888896</v>
      </c>
      <c r="V14" t="s">
        <v>274</v>
      </c>
    </row>
    <row r="15" spans="1:22" hidden="1" x14ac:dyDescent="0.25">
      <c r="A15" s="3">
        <f>K15+L15</f>
        <v>208.84763636363635</v>
      </c>
      <c r="B15" s="64">
        <f>C15*Engines!G37/Engines!H37</f>
        <v>10937.727272727272</v>
      </c>
      <c r="C15" s="30">
        <v>13000</v>
      </c>
      <c r="D15">
        <v>0</v>
      </c>
      <c r="E15" s="82">
        <v>0</v>
      </c>
      <c r="F15" s="82">
        <v>0</v>
      </c>
      <c r="G15" s="82">
        <v>0</v>
      </c>
      <c r="H15">
        <v>0</v>
      </c>
      <c r="I15">
        <v>0</v>
      </c>
      <c r="J15">
        <v>0</v>
      </c>
      <c r="K15" s="3">
        <f t="shared" si="2"/>
        <v>119.68863636363636</v>
      </c>
      <c r="L15" s="27">
        <v>89.159000000000006</v>
      </c>
      <c r="M15" s="7">
        <f>O15*A$1*LN(A15/L15)</f>
        <v>2886.4088939506978</v>
      </c>
      <c r="N15" s="29" t="s">
        <v>274</v>
      </c>
      <c r="O15">
        <f>VLOOKUP(N15,Engines[],COLUMN(Engines[Isp vac]),FALSE)</f>
        <v>345.79116267588245</v>
      </c>
      <c r="P15" s="2">
        <v>1</v>
      </c>
      <c r="Q15" s="2">
        <f>VLOOKUP(N15,Engines[],COLUMN(Engines[F vac]),FALSE)*P15</f>
        <v>4120</v>
      </c>
      <c r="R15" s="3">
        <f>Q15/A15</f>
        <v>19.727300110911653</v>
      </c>
      <c r="S15" s="3">
        <f>Q15/L15</f>
        <v>46.209580636839803</v>
      </c>
      <c r="T15" s="2">
        <f>K15*O15*A$1/Q15</f>
        <v>98.512256818181797</v>
      </c>
      <c r="U15" s="3">
        <f>T15/60</f>
        <v>1.6418709469696966</v>
      </c>
      <c r="V15" t="s">
        <v>274</v>
      </c>
    </row>
    <row r="16" spans="1:22" hidden="1" x14ac:dyDescent="0.25">
      <c r="B16" s="30">
        <v>23380</v>
      </c>
      <c r="C16" s="30">
        <v>22220</v>
      </c>
      <c r="M16" s="7">
        <f>SUM(M13:M15)</f>
        <v>4865.7820297306616</v>
      </c>
    </row>
    <row r="17" spans="1:25" hidden="1" x14ac:dyDescent="0.25">
      <c r="M17" s="7"/>
    </row>
    <row r="18" spans="1:25" hidden="1" x14ac:dyDescent="0.25">
      <c r="A18" s="3">
        <f>K18+L18</f>
        <v>129</v>
      </c>
      <c r="B18" s="4">
        <f>C18*Engines!G39/Engines!H39</f>
        <v>2010.1258741258744</v>
      </c>
      <c r="C18">
        <f>C21-C20</f>
        <v>2360</v>
      </c>
      <c r="D18">
        <v>0</v>
      </c>
      <c r="E18" s="82">
        <v>0</v>
      </c>
      <c r="F18" s="82">
        <v>0</v>
      </c>
      <c r="G18" s="82">
        <v>0</v>
      </c>
      <c r="H18">
        <v>0</v>
      </c>
      <c r="I18">
        <v>0</v>
      </c>
      <c r="J18">
        <v>0</v>
      </c>
      <c r="K18" s="3">
        <f>B18/B$1+C18/C$1+D18/D$1+E18/E$1+F18/F$1+G18/G$1+H18/H$1+I18/I$1+J18/J$1</f>
        <v>21.85062937062937</v>
      </c>
      <c r="L18" s="27">
        <f>A19</f>
        <v>107.14937062937064</v>
      </c>
      <c r="M18" s="7">
        <f>O18*A$1*LN(A18/L18)</f>
        <v>598.23631174643947</v>
      </c>
      <c r="N18" s="29" t="s">
        <v>273</v>
      </c>
      <c r="O18">
        <f>VLOOKUP(N18,Engines[],COLUMN(Engines[Isp vac]),FALSE)</f>
        <v>328.70090634441084</v>
      </c>
      <c r="P18" s="2">
        <v>1</v>
      </c>
      <c r="Q18" s="2">
        <f>VLOOKUP(N18,Engines[],COLUMN(Engines[F vac]),FALSE)*P18</f>
        <v>1360</v>
      </c>
      <c r="R18" s="3">
        <f>Q18/A18</f>
        <v>10.542635658914728</v>
      </c>
      <c r="S18" s="3">
        <f>Q18/L18</f>
        <v>12.692561720257192</v>
      </c>
      <c r="T18" s="2">
        <f>K18*O18*A$1/Q18</f>
        <v>51.790084475524473</v>
      </c>
      <c r="U18" s="3">
        <f>T18/60</f>
        <v>0.86316807459207456</v>
      </c>
      <c r="V18" t="s">
        <v>273</v>
      </c>
    </row>
    <row r="19" spans="1:25" hidden="1" x14ac:dyDescent="0.25">
      <c r="A19" s="3">
        <f>K19+L19</f>
        <v>107.14937062937064</v>
      </c>
      <c r="B19" s="4">
        <f>B21-B18-B20</f>
        <v>2519.3846153846143</v>
      </c>
      <c r="C19">
        <v>0</v>
      </c>
      <c r="D19">
        <v>75</v>
      </c>
      <c r="E19" s="28">
        <v>0</v>
      </c>
      <c r="F19" s="28">
        <v>0</v>
      </c>
      <c r="G19" s="28">
        <v>0</v>
      </c>
      <c r="H19">
        <v>0</v>
      </c>
      <c r="I19">
        <v>0</v>
      </c>
      <c r="J19">
        <v>0</v>
      </c>
      <c r="K19" s="3">
        <f t="shared" ref="K19:K20" si="3">B19/B$1+C19/C$1+D19/D$1+E19/E$1+F19/F$1+G19/G$1+H19/H$1+I19/I$1+J19/J$1</f>
        <v>13.346923076923071</v>
      </c>
      <c r="L19" s="27">
        <f>A20</f>
        <v>93.80244755244756</v>
      </c>
      <c r="M19" s="7">
        <f>O19*A$1*LN(A19/L19)</f>
        <v>1043.6856646467256</v>
      </c>
      <c r="N19" s="29" t="s">
        <v>18</v>
      </c>
      <c r="O19">
        <f>VLOOKUP(N19,Engines[],COLUMN(Engines[Isp vac]),FALSE)</f>
        <v>800</v>
      </c>
      <c r="P19" s="2">
        <v>1</v>
      </c>
      <c r="Q19" s="2">
        <f>VLOOKUP(N19,Engines[],COLUMN(Engines[F vac]),FALSE)*P19</f>
        <v>60</v>
      </c>
      <c r="R19" s="3">
        <f>Q19/A19</f>
        <v>0.55996595824664086</v>
      </c>
      <c r="S19" s="3">
        <f>Q19/L19</f>
        <v>0.63964215823315618</v>
      </c>
      <c r="T19" s="2">
        <f>K19*O19*A$1/Q19</f>
        <v>1745.1813758974351</v>
      </c>
      <c r="U19" s="3">
        <f>T19/60</f>
        <v>29.086356264957253</v>
      </c>
      <c r="V19" t="s">
        <v>273</v>
      </c>
    </row>
    <row r="20" spans="1:25" hidden="1" x14ac:dyDescent="0.25">
      <c r="A20" s="3">
        <f>K20+L20</f>
        <v>93.80244755244756</v>
      </c>
      <c r="B20" s="64">
        <f>C20*Engines!G39/Engines!H39</f>
        <v>5110.4895104895113</v>
      </c>
      <c r="C20" s="30">
        <v>6000</v>
      </c>
      <c r="D20">
        <v>0</v>
      </c>
      <c r="E20" s="82">
        <v>0</v>
      </c>
      <c r="F20" s="82">
        <v>0</v>
      </c>
      <c r="G20" s="82">
        <v>0</v>
      </c>
      <c r="H20">
        <v>0</v>
      </c>
      <c r="I20">
        <v>0</v>
      </c>
      <c r="J20">
        <v>0</v>
      </c>
      <c r="K20" s="3">
        <f t="shared" si="3"/>
        <v>55.55244755244756</v>
      </c>
      <c r="L20" s="27">
        <v>38.25</v>
      </c>
      <c r="M20" s="7">
        <f>O20*A$1*LN(A20/L20)</f>
        <v>2891.5916600109977</v>
      </c>
      <c r="N20" s="29" t="s">
        <v>273</v>
      </c>
      <c r="O20">
        <f>VLOOKUP(N20,Engines[],COLUMN(Engines[Isp vac]),FALSE)</f>
        <v>328.70090634441084</v>
      </c>
      <c r="P20" s="2">
        <v>1</v>
      </c>
      <c r="Q20" s="2">
        <f>VLOOKUP(N20,Engines[],COLUMN(Engines[F vac]),FALSE)*P20</f>
        <v>1360</v>
      </c>
      <c r="R20" s="3">
        <f>Q20/A20</f>
        <v>14.498555586618208</v>
      </c>
      <c r="S20" s="3">
        <f>Q20/L20</f>
        <v>35.555555555555557</v>
      </c>
      <c r="T20" s="2">
        <f>K20*O20*A$1/Q20</f>
        <v>131.6697062937063</v>
      </c>
      <c r="U20" s="3">
        <f>T20/60</f>
        <v>2.1944951048951049</v>
      </c>
      <c r="V20" t="s">
        <v>273</v>
      </c>
    </row>
    <row r="21" spans="1:25" hidden="1" x14ac:dyDescent="0.25">
      <c r="B21" s="30">
        <v>9640</v>
      </c>
      <c r="C21" s="30">
        <v>8360</v>
      </c>
      <c r="M21" s="7">
        <f>SUM(M18:M20)</f>
        <v>4533.5136364041628</v>
      </c>
    </row>
    <row r="22" spans="1:25" hidden="1" x14ac:dyDescent="0.25"/>
    <row r="23" spans="1:25" x14ac:dyDescent="0.25">
      <c r="A23" s="3">
        <f>K23+L23</f>
        <v>65.332999999999998</v>
      </c>
      <c r="B23" s="4">
        <f>C23*Engines!G40/Engines!H40</f>
        <v>1023.7878787878789</v>
      </c>
      <c r="C23">
        <f>C26-C25</f>
        <v>1160</v>
      </c>
      <c r="D23">
        <v>0</v>
      </c>
      <c r="E23" s="82">
        <v>0</v>
      </c>
      <c r="F23" s="82">
        <v>0</v>
      </c>
      <c r="G23" s="82">
        <v>0</v>
      </c>
      <c r="H23">
        <v>0</v>
      </c>
      <c r="I23">
        <v>0</v>
      </c>
      <c r="J23">
        <v>0</v>
      </c>
      <c r="K23" s="3">
        <f>B23/B$1+C23/C$1+D23/D$1+E23/E$1+F23/F$1+G23/G$1+H23/H$1+I23/I$1+J23/J$1</f>
        <v>10.918939393939393</v>
      </c>
      <c r="L23" s="27">
        <f>A24</f>
        <v>54.414060606060609</v>
      </c>
      <c r="M23" s="7">
        <f>O23*A$1*LN(A23/L23)</f>
        <v>637.96981236030649</v>
      </c>
      <c r="N23" s="29" t="s">
        <v>272</v>
      </c>
      <c r="O23">
        <f>VLOOKUP(N23,Engines[],COLUMN(Engines[Isp vac]),FALSE)</f>
        <v>355.73440643863177</v>
      </c>
      <c r="P23" s="2">
        <v>1</v>
      </c>
      <c r="Q23" s="2">
        <f>VLOOKUP(N23,Engines[],COLUMN(Engines[F vac]),FALSE)*P23</f>
        <v>780</v>
      </c>
      <c r="R23" s="3">
        <f>Q23/A23</f>
        <v>11.938836422634809</v>
      </c>
      <c r="S23" s="3">
        <f>Q23/L23</f>
        <v>14.334530290744816</v>
      </c>
      <c r="T23" s="2">
        <f>K23*O23*A$1/Q23</f>
        <v>48.835135858585851</v>
      </c>
      <c r="U23" s="3">
        <f>T23/60</f>
        <v>0.81391893097643087</v>
      </c>
      <c r="V23" t="s">
        <v>272</v>
      </c>
    </row>
    <row r="24" spans="1:25" x14ac:dyDescent="0.25">
      <c r="A24" s="3">
        <f>K24+L24</f>
        <v>54.414060606060609</v>
      </c>
      <c r="B24" s="4">
        <f>B26-B23-B25</f>
        <v>1464.9999999999995</v>
      </c>
      <c r="C24">
        <v>0</v>
      </c>
      <c r="D24">
        <v>0</v>
      </c>
      <c r="E24" s="28">
        <v>0</v>
      </c>
      <c r="F24" s="28">
        <v>0</v>
      </c>
      <c r="G24" s="28">
        <v>0</v>
      </c>
      <c r="H24">
        <v>0</v>
      </c>
      <c r="I24">
        <v>0</v>
      </c>
      <c r="J24">
        <v>0</v>
      </c>
      <c r="K24" s="3">
        <f t="shared" ref="K24:K25" si="4">B24/B$1+C24/C$1+D24/D$1+E24/E$1+F24/F$1+G24/G$1+H24/H$1+I24/I$1+J24/J$1</f>
        <v>7.3249999999999975</v>
      </c>
      <c r="L24" s="27">
        <f>A25</f>
        <v>47.089060606060613</v>
      </c>
      <c r="M24" s="7">
        <f>O24*A$1*LN(A24/L24)</f>
        <v>1134.2910546813796</v>
      </c>
      <c r="N24" s="29" t="s">
        <v>18</v>
      </c>
      <c r="O24">
        <f>VLOOKUP(N24,Engines[],COLUMN(Engines[Isp vac]),FALSE)</f>
        <v>800</v>
      </c>
      <c r="P24" s="2">
        <v>1</v>
      </c>
      <c r="Q24" s="2">
        <f>VLOOKUP(N24,Engines[],COLUMN(Engines[F vac]),FALSE)*P24</f>
        <v>60</v>
      </c>
      <c r="R24" s="3">
        <f>Q24/A24</f>
        <v>1.1026561762111398</v>
      </c>
      <c r="S24" s="3">
        <f>Q24/L24</f>
        <v>1.2741812902565672</v>
      </c>
      <c r="T24" s="2">
        <f>K24*O24*A$1/Q24</f>
        <v>957.78281666666624</v>
      </c>
      <c r="U24" s="3">
        <f>T24/60</f>
        <v>15.963046944444438</v>
      </c>
      <c r="V24" t="s">
        <v>272</v>
      </c>
    </row>
    <row r="25" spans="1:25" x14ac:dyDescent="0.25">
      <c r="A25" s="3">
        <f>K25+L25</f>
        <v>47.089060606060613</v>
      </c>
      <c r="B25" s="64">
        <f>C25*Engines!G40/Engines!H40</f>
        <v>2471.2121212121215</v>
      </c>
      <c r="C25" s="30">
        <v>2800</v>
      </c>
      <c r="D25">
        <v>0</v>
      </c>
      <c r="E25" s="82">
        <v>0</v>
      </c>
      <c r="F25" s="82">
        <v>0</v>
      </c>
      <c r="G25" s="82">
        <v>0</v>
      </c>
      <c r="H25">
        <v>0</v>
      </c>
      <c r="I25">
        <v>0</v>
      </c>
      <c r="J25">
        <v>0</v>
      </c>
      <c r="K25" s="3">
        <f t="shared" si="4"/>
        <v>26.356060606060609</v>
      </c>
      <c r="L25" s="27">
        <v>20.733000000000001</v>
      </c>
      <c r="M25" s="7">
        <f>O25*A$1*LN(A25/L25)</f>
        <v>2861.7172024621532</v>
      </c>
      <c r="N25" s="29" t="s">
        <v>272</v>
      </c>
      <c r="O25">
        <f>VLOOKUP(N25,Engines[],COLUMN(Engines[Isp vac]),FALSE)</f>
        <v>355.73440643863177</v>
      </c>
      <c r="P25" s="2">
        <v>1</v>
      </c>
      <c r="Q25" s="2">
        <f>VLOOKUP(N25,Engines[],COLUMN(Engines[F vac]),FALSE)*P25</f>
        <v>780</v>
      </c>
      <c r="R25" s="3">
        <f>Q25/A25</f>
        <v>16.564356773335373</v>
      </c>
      <c r="S25" s="3">
        <f>Q25/L25</f>
        <v>37.621183620315435</v>
      </c>
      <c r="T25" s="2">
        <f>K25*O25*A$1/Q25</f>
        <v>117.87791414141414</v>
      </c>
      <c r="U25" s="3">
        <f>T25/60</f>
        <v>1.9646319023569023</v>
      </c>
      <c r="V25" t="s">
        <v>272</v>
      </c>
    </row>
    <row r="26" spans="1:25" x14ac:dyDescent="0.25">
      <c r="B26" s="30">
        <v>4960</v>
      </c>
      <c r="C26" s="30">
        <v>3960</v>
      </c>
      <c r="M26" s="7">
        <f>SUM(M23:M25)</f>
        <v>4633.9780695038389</v>
      </c>
    </row>
    <row r="27" spans="1:2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82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7"/>
      <c r="B28" s="83"/>
      <c r="C28" s="28"/>
      <c r="D28" s="28"/>
      <c r="E28" s="28"/>
      <c r="F28" s="28"/>
      <c r="G28" s="28"/>
      <c r="H28" s="28"/>
      <c r="I28" s="28"/>
      <c r="J28" s="28"/>
      <c r="K28" s="27"/>
      <c r="L28" s="27"/>
      <c r="M28" s="84"/>
      <c r="N28" s="85"/>
      <c r="O28" s="28"/>
      <c r="P28" s="85"/>
      <c r="Q28" s="85"/>
      <c r="R28" s="27"/>
      <c r="S28" s="27"/>
      <c r="T28" s="85"/>
      <c r="U28" s="27"/>
      <c r="V28" s="28"/>
      <c r="W28" s="28"/>
      <c r="X28" s="28"/>
      <c r="Y28" s="28"/>
    </row>
    <row r="29" spans="1:25" x14ac:dyDescent="0.25">
      <c r="A29" s="27"/>
      <c r="B29" s="83"/>
      <c r="C29" s="28"/>
      <c r="D29" s="28"/>
      <c r="E29" s="28"/>
      <c r="F29" s="28"/>
      <c r="G29" s="28"/>
      <c r="H29" s="28"/>
      <c r="I29" s="28"/>
      <c r="J29" s="28"/>
      <c r="K29" s="27"/>
      <c r="L29" s="27"/>
      <c r="M29" s="84"/>
      <c r="N29" s="85"/>
      <c r="O29" s="28"/>
      <c r="P29" s="85"/>
      <c r="Q29" s="85"/>
      <c r="R29" s="27"/>
      <c r="S29" s="27"/>
      <c r="T29" s="85"/>
      <c r="U29" s="27"/>
      <c r="V29" s="28"/>
      <c r="W29" s="28"/>
      <c r="X29" s="28"/>
      <c r="Y29" s="28"/>
    </row>
    <row r="30" spans="1:25" x14ac:dyDescent="0.25">
      <c r="A30" s="27"/>
      <c r="B30" s="83"/>
      <c r="C30" s="28"/>
      <c r="D30" s="28"/>
      <c r="E30" s="28"/>
      <c r="F30" s="28"/>
      <c r="G30" s="28"/>
      <c r="H30" s="28"/>
      <c r="I30" s="28"/>
      <c r="J30" s="28"/>
      <c r="K30" s="27"/>
      <c r="L30" s="27"/>
      <c r="M30" s="84"/>
      <c r="N30" s="85"/>
      <c r="O30" s="28"/>
      <c r="P30" s="85"/>
      <c r="Q30" s="85"/>
      <c r="R30" s="27"/>
      <c r="S30" s="27"/>
      <c r="T30" s="85"/>
      <c r="U30" s="27"/>
      <c r="V30" s="28"/>
      <c r="W30" s="28"/>
      <c r="X30" s="28"/>
      <c r="Y30" s="28"/>
    </row>
    <row r="31" spans="1:25" x14ac:dyDescent="0.25">
      <c r="A31" s="27"/>
      <c r="B31" s="83"/>
      <c r="C31" s="28"/>
      <c r="D31" s="28"/>
      <c r="E31" s="28"/>
      <c r="F31" s="28"/>
      <c r="G31" s="28"/>
      <c r="H31" s="28"/>
      <c r="I31" s="28"/>
      <c r="J31" s="28"/>
      <c r="K31" s="27"/>
      <c r="L31" s="27"/>
      <c r="M31" s="84"/>
      <c r="N31" s="85"/>
      <c r="O31" s="28"/>
      <c r="P31" s="85"/>
      <c r="Q31" s="85"/>
      <c r="R31" s="27"/>
      <c r="S31" s="27"/>
      <c r="T31" s="85"/>
      <c r="U31" s="27"/>
      <c r="V31" s="28"/>
      <c r="W31" s="28"/>
      <c r="X31" s="28"/>
      <c r="Y31" s="28"/>
    </row>
    <row r="32" spans="1:25" x14ac:dyDescent="0.25">
      <c r="A32" s="27"/>
      <c r="B32" s="83"/>
      <c r="C32" s="28"/>
      <c r="D32" s="28"/>
      <c r="E32" s="28"/>
      <c r="F32" s="28"/>
      <c r="G32" s="28"/>
      <c r="H32" s="28"/>
      <c r="I32" s="28"/>
      <c r="J32" s="28"/>
      <c r="K32" s="27"/>
      <c r="L32" s="27"/>
      <c r="M32" s="84"/>
      <c r="N32" s="85"/>
      <c r="O32" s="28"/>
      <c r="P32" s="85"/>
      <c r="Q32" s="85"/>
      <c r="R32" s="27"/>
      <c r="S32" s="27"/>
      <c r="T32" s="85"/>
      <c r="U32" s="27"/>
      <c r="V32" s="28"/>
      <c r="W32" s="28"/>
      <c r="X32" s="28"/>
      <c r="Y32" s="28"/>
    </row>
    <row r="33" spans="1:25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82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82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82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82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82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82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82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82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82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x14ac:dyDescent="0.25">
      <c r="A42" s="86"/>
      <c r="B42" s="28"/>
      <c r="C42" s="82"/>
      <c r="D42" s="82"/>
      <c r="E42" s="82"/>
      <c r="F42" s="82"/>
      <c r="G42" s="82"/>
      <c r="H42" s="28"/>
      <c r="I42" s="28"/>
      <c r="J42" s="28"/>
      <c r="K42" s="27"/>
      <c r="L42" s="27"/>
      <c r="M42" s="84"/>
      <c r="N42" s="85"/>
      <c r="O42" s="28"/>
      <c r="P42" s="85"/>
      <c r="Q42" s="85"/>
      <c r="R42" s="27"/>
      <c r="S42" s="27"/>
      <c r="T42" s="85"/>
      <c r="U42" s="27"/>
      <c r="V42" s="28"/>
      <c r="W42" s="28"/>
      <c r="X42" s="28"/>
      <c r="Y42" s="28"/>
    </row>
    <row r="43" spans="1:25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82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82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82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82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</sheetData>
  <dataValidations count="1">
    <dataValidation type="list" allowBlank="1" showInputMessage="1" showErrorMessage="1" sqref="N8:N10 N13:N15 N3:N6 N18:N20 N23:N25 N28:N32 N42">
      <formula1>INDIRECT("Engines[Engine]")</formula1>
    </dataValidation>
  </dataValidations>
  <pageMargins left="0.7" right="0.7" top="0.75" bottom="0.75" header="0.3" footer="0.3"/>
  <pageSetup paperSize="9" orientation="portrait" r:id="rId1"/>
  <ignoredErrors>
    <ignoredError sqref="B9 B14 B19 B24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37"/>
  <sheetViews>
    <sheetView workbookViewId="0">
      <pane ySplit="1" topLeftCell="A47" activePane="bottomLeft" state="frozen"/>
      <selection pane="bottomLeft" activeCell="L41" sqref="L41"/>
    </sheetView>
  </sheetViews>
  <sheetFormatPr defaultRowHeight="15" x14ac:dyDescent="0.25"/>
  <cols>
    <col min="1" max="6" width="8.7109375" customWidth="1"/>
    <col min="7" max="7" width="9.28515625" customWidth="1"/>
    <col min="8" max="9" width="8.7109375" customWidth="1"/>
    <col min="12" max="12" width="11.42578125" customWidth="1"/>
    <col min="14" max="14" width="9.5703125" customWidth="1"/>
    <col min="20" max="20" width="10.28515625" customWidth="1"/>
  </cols>
  <sheetData>
    <row r="1" spans="1:23" x14ac:dyDescent="0.25">
      <c r="A1" s="1" t="s">
        <v>7</v>
      </c>
      <c r="B1" t="s">
        <v>6</v>
      </c>
      <c r="C1" t="s">
        <v>35</v>
      </c>
      <c r="D1" t="s">
        <v>36</v>
      </c>
      <c r="E1" t="s">
        <v>8</v>
      </c>
      <c r="F1" t="s">
        <v>37</v>
      </c>
      <c r="G1" s="1" t="s">
        <v>9</v>
      </c>
      <c r="H1" s="1" t="s">
        <v>10</v>
      </c>
      <c r="I1" t="s">
        <v>257</v>
      </c>
      <c r="J1" t="s">
        <v>256</v>
      </c>
      <c r="K1">
        <v>9.8066499999999994</v>
      </c>
      <c r="M1" t="s">
        <v>7</v>
      </c>
      <c r="N1" t="s">
        <v>34</v>
      </c>
      <c r="O1" t="s">
        <v>5</v>
      </c>
      <c r="P1" t="s">
        <v>38</v>
      </c>
    </row>
    <row r="2" spans="1:23" x14ac:dyDescent="0.25">
      <c r="A2" t="s">
        <v>11</v>
      </c>
      <c r="B2">
        <v>0.09</v>
      </c>
      <c r="C2" s="3">
        <f t="shared" ref="C2:C38" si="0">E2*D2/F2</f>
        <v>13.793103448275861</v>
      </c>
      <c r="D2">
        <v>250</v>
      </c>
      <c r="E2" s="2">
        <v>16</v>
      </c>
      <c r="F2">
        <v>290</v>
      </c>
      <c r="G2" s="8">
        <f>L$65/(L$65*L$66+M$65*M$66)*E2/(F2*K$1)</f>
        <v>0.50634184368559187</v>
      </c>
      <c r="H2" s="8">
        <f>M$65/(L$65*L$66+M$65*M$66)*E2/(F2*K$1)</f>
        <v>0.6188622533935012</v>
      </c>
      <c r="I2" s="3">
        <f t="shared" ref="I2:I47" si="1">E2/B2</f>
        <v>177.77777777777777</v>
      </c>
      <c r="J2" s="3" t="s">
        <v>148</v>
      </c>
      <c r="M2" s="26" t="s">
        <v>26</v>
      </c>
      <c r="N2" s="26">
        <v>4</v>
      </c>
      <c r="O2">
        <f>VLOOKUP(M2,Engines[],COLUMN(Engines[F vac]),FALSE)</f>
        <v>180</v>
      </c>
      <c r="P2">
        <f>VLOOKUP(M2,Engines[],COLUMN(Engines[Isp vac]),FALSE)</f>
        <v>340</v>
      </c>
      <c r="T2" s="3"/>
      <c r="U2" s="3"/>
      <c r="W2" s="3"/>
    </row>
    <row r="3" spans="1:23" x14ac:dyDescent="0.25">
      <c r="A3" t="s">
        <v>12</v>
      </c>
      <c r="B3">
        <v>0.1</v>
      </c>
      <c r="C3" s="3">
        <f t="shared" si="0"/>
        <v>16.875</v>
      </c>
      <c r="D3">
        <v>270</v>
      </c>
      <c r="E3" s="2">
        <v>20</v>
      </c>
      <c r="F3">
        <v>320</v>
      </c>
      <c r="G3" s="8">
        <f t="shared" ref="G3:G4" si="2">L$65/(L$65*L$66+M$65*M$66)*E3/(F3*K$1)</f>
        <v>0.5735903698000846</v>
      </c>
      <c r="H3" s="8">
        <f>M$65/(L$65*L$66+M$65*M$66)*E3/(F3*K$1)</f>
        <v>0.70105489642232555</v>
      </c>
      <c r="I3" s="3">
        <f t="shared" si="1"/>
        <v>200</v>
      </c>
      <c r="J3" s="3" t="s">
        <v>148</v>
      </c>
      <c r="M3" s="26" t="s">
        <v>18</v>
      </c>
      <c r="N3" s="26">
        <v>1</v>
      </c>
      <c r="O3">
        <f>VLOOKUP(M3,Engines[],COLUMN(Engines[F vac]),FALSE)</f>
        <v>60</v>
      </c>
      <c r="P3">
        <f>VLOOKUP(M3,Engines[],COLUMN(Engines[Isp vac]),FALSE)</f>
        <v>800</v>
      </c>
      <c r="T3" s="3"/>
      <c r="U3" s="3"/>
      <c r="W3" s="3"/>
    </row>
    <row r="4" spans="1:23" x14ac:dyDescent="0.25">
      <c r="A4" t="s">
        <v>86</v>
      </c>
      <c r="B4">
        <v>2</v>
      </c>
      <c r="C4" s="3">
        <f t="shared" si="0"/>
        <v>162.29508196721312</v>
      </c>
      <c r="D4">
        <v>275</v>
      </c>
      <c r="E4" s="2">
        <v>180</v>
      </c>
      <c r="F4">
        <v>305</v>
      </c>
      <c r="G4" s="8">
        <f t="shared" si="2"/>
        <v>5.4161975902434216</v>
      </c>
      <c r="H4" s="8">
        <f>M$65/(L$65*L$66+M$65*M$66)*E4/(F4*K$1)</f>
        <v>6.6197970547419596</v>
      </c>
      <c r="I4" s="3">
        <f t="shared" si="1"/>
        <v>90</v>
      </c>
      <c r="J4" s="3" t="s">
        <v>148</v>
      </c>
      <c r="U4" s="3"/>
      <c r="V4" s="9"/>
      <c r="W4" s="9"/>
    </row>
    <row r="5" spans="1:23" x14ac:dyDescent="0.25">
      <c r="A5" t="s">
        <v>13</v>
      </c>
      <c r="B5">
        <v>0.25</v>
      </c>
      <c r="C5" s="8">
        <f t="shared" si="0"/>
        <v>4.7619047619047616E-2</v>
      </c>
      <c r="D5">
        <v>100</v>
      </c>
      <c r="E5" s="2">
        <v>2</v>
      </c>
      <c r="F5">
        <v>4200</v>
      </c>
      <c r="G5" s="8">
        <f>L$42/L$43*E5/(F5*K$1)</f>
        <v>0.48557914903710869</v>
      </c>
      <c r="H5" s="8" t="str">
        <f>L$41</f>
        <v>Xenon</v>
      </c>
      <c r="I5" s="3">
        <f t="shared" si="1"/>
        <v>8</v>
      </c>
      <c r="J5" s="3" t="s">
        <v>148</v>
      </c>
      <c r="M5" t="s">
        <v>6</v>
      </c>
      <c r="N5" t="s">
        <v>35</v>
      </c>
      <c r="O5" t="s">
        <v>36</v>
      </c>
      <c r="P5" t="s">
        <v>8</v>
      </c>
      <c r="Q5" t="s">
        <v>37</v>
      </c>
    </row>
    <row r="6" spans="1:23" x14ac:dyDescent="0.25">
      <c r="A6" t="s">
        <v>87</v>
      </c>
      <c r="B6">
        <v>6.5</v>
      </c>
      <c r="C6" s="3">
        <f t="shared" si="0"/>
        <v>1866.6666666666667</v>
      </c>
      <c r="D6">
        <v>280</v>
      </c>
      <c r="E6" s="2">
        <v>2000</v>
      </c>
      <c r="F6">
        <v>300</v>
      </c>
      <c r="G6" s="8">
        <f t="shared" ref="G6:G12" si="3">L$65/(L$65*L$66+M$65*M$66)*E6/(F6*K$1)</f>
        <v>61.182972778675683</v>
      </c>
      <c r="H6" s="8">
        <f t="shared" ref="H6:H12" si="4">M$65/(L$65*L$66+M$65*M$66)*E6/(F6*K$1)</f>
        <v>74.77918895171473</v>
      </c>
      <c r="I6" s="3">
        <f t="shared" si="1"/>
        <v>307.69230769230768</v>
      </c>
      <c r="J6" s="3" t="s">
        <v>148</v>
      </c>
      <c r="L6" s="8"/>
      <c r="M6">
        <f>VLOOKUP(M2,Engines[],COLUMN(Engines[M]),FALSE)*N2+VLOOKUP(M3,Engines[],COLUMN(Engines[M]),FALSE)*N3</f>
        <v>7</v>
      </c>
      <c r="N6">
        <f>VLOOKUP(M2,Engines[],COLUMN(Engines[F asl]),FALSE)*N2+VLOOKUP(M3,Engines[],COLUMN(Engines[F asl]),FALSE)*N3</f>
        <v>627.99264705882354</v>
      </c>
      <c r="O6">
        <f>Q6*N6/P6</f>
        <v>286.40845070422534</v>
      </c>
      <c r="P6">
        <f>O2*N2+O3*N3</f>
        <v>780</v>
      </c>
      <c r="Q6">
        <f>(N2*O2+N3*O3)/(N2*O2/P2+N3*O3/P3)</f>
        <v>355.73440643863177</v>
      </c>
    </row>
    <row r="7" spans="1:23" x14ac:dyDescent="0.25">
      <c r="A7" t="s">
        <v>14</v>
      </c>
      <c r="B7">
        <v>9</v>
      </c>
      <c r="C7" s="3">
        <f t="shared" si="0"/>
        <v>1205.8823529411766</v>
      </c>
      <c r="D7">
        <v>205</v>
      </c>
      <c r="E7" s="2">
        <v>2000</v>
      </c>
      <c r="F7">
        <v>340</v>
      </c>
      <c r="G7" s="8">
        <f t="shared" si="3"/>
        <v>53.984975981184427</v>
      </c>
      <c r="H7" s="8">
        <f t="shared" si="4"/>
        <v>65.981637310336524</v>
      </c>
      <c r="I7" s="3">
        <f t="shared" si="1"/>
        <v>222.22222222222223</v>
      </c>
      <c r="J7" s="3" t="s">
        <v>148</v>
      </c>
      <c r="L7" s="8"/>
    </row>
    <row r="8" spans="1:23" x14ac:dyDescent="0.25">
      <c r="A8" t="s">
        <v>25</v>
      </c>
      <c r="B8">
        <v>4</v>
      </c>
      <c r="C8" s="3">
        <f t="shared" si="0"/>
        <v>936.50793650793651</v>
      </c>
      <c r="D8">
        <v>295</v>
      </c>
      <c r="E8" s="2">
        <v>1000</v>
      </c>
      <c r="F8">
        <v>315</v>
      </c>
      <c r="G8" s="8">
        <f t="shared" si="3"/>
        <v>29.134748942226519</v>
      </c>
      <c r="H8" s="8">
        <f t="shared" si="4"/>
        <v>35.609137596054637</v>
      </c>
      <c r="I8" s="3">
        <f t="shared" si="1"/>
        <v>250</v>
      </c>
      <c r="J8" s="3" t="s">
        <v>148</v>
      </c>
    </row>
    <row r="9" spans="1:23" x14ac:dyDescent="0.25">
      <c r="A9" t="s">
        <v>47</v>
      </c>
      <c r="B9">
        <v>15</v>
      </c>
      <c r="C9" s="3">
        <f t="shared" si="0"/>
        <v>3746.031746031746</v>
      </c>
      <c r="D9">
        <v>295</v>
      </c>
      <c r="E9" s="2">
        <v>4000</v>
      </c>
      <c r="F9">
        <v>315</v>
      </c>
      <c r="G9" s="8">
        <f t="shared" si="3"/>
        <v>116.53899576890608</v>
      </c>
      <c r="H9" s="8">
        <f t="shared" si="4"/>
        <v>142.43655038421855</v>
      </c>
      <c r="I9" s="3">
        <f t="shared" si="1"/>
        <v>266.66666666666669</v>
      </c>
      <c r="J9" s="3" t="s">
        <v>148</v>
      </c>
    </row>
    <row r="10" spans="1:23" x14ac:dyDescent="0.25">
      <c r="A10" t="s">
        <v>15</v>
      </c>
      <c r="B10">
        <v>0.02</v>
      </c>
      <c r="C10" s="3">
        <f t="shared" si="0"/>
        <v>0.50793650793650791</v>
      </c>
      <c r="D10">
        <v>80</v>
      </c>
      <c r="E10" s="2">
        <v>2</v>
      </c>
      <c r="F10">
        <v>315</v>
      </c>
      <c r="G10" s="8">
        <f t="shared" si="3"/>
        <v>5.8269497884453035E-2</v>
      </c>
      <c r="H10" s="8">
        <f t="shared" si="4"/>
        <v>7.121827519210927E-2</v>
      </c>
      <c r="I10" s="3">
        <f t="shared" si="1"/>
        <v>100</v>
      </c>
      <c r="J10" s="3" t="s">
        <v>148</v>
      </c>
    </row>
    <row r="11" spans="1:23" x14ac:dyDescent="0.25">
      <c r="A11" t="s">
        <v>16</v>
      </c>
      <c r="B11">
        <v>0.02</v>
      </c>
      <c r="C11" s="3">
        <f t="shared" si="0"/>
        <v>1.7931034482758621</v>
      </c>
      <c r="D11">
        <v>260</v>
      </c>
      <c r="E11" s="2">
        <v>2</v>
      </c>
      <c r="F11">
        <v>290</v>
      </c>
      <c r="G11" s="8">
        <f t="shared" si="3"/>
        <v>6.3292730460698984E-2</v>
      </c>
      <c r="H11" s="8">
        <f t="shared" si="4"/>
        <v>7.7357781674187651E-2</v>
      </c>
      <c r="I11" s="3">
        <f t="shared" si="1"/>
        <v>100</v>
      </c>
      <c r="J11" s="3" t="s">
        <v>148</v>
      </c>
    </row>
    <row r="12" spans="1:23" x14ac:dyDescent="0.25">
      <c r="A12" t="s">
        <v>17</v>
      </c>
      <c r="B12">
        <v>0.5</v>
      </c>
      <c r="C12" s="3">
        <f t="shared" si="0"/>
        <v>14.782608695652174</v>
      </c>
      <c r="D12">
        <v>85</v>
      </c>
      <c r="E12" s="2">
        <v>60</v>
      </c>
      <c r="F12">
        <v>345</v>
      </c>
      <c r="G12" s="8">
        <f t="shared" si="3"/>
        <v>1.5960775507480613</v>
      </c>
      <c r="H12" s="8">
        <f t="shared" si="4"/>
        <v>1.9507614509142972</v>
      </c>
      <c r="I12" s="3">
        <f t="shared" si="1"/>
        <v>120</v>
      </c>
      <c r="J12" s="3" t="s">
        <v>148</v>
      </c>
    </row>
    <row r="13" spans="1:23" x14ac:dyDescent="0.25">
      <c r="A13" t="s">
        <v>18</v>
      </c>
      <c r="B13">
        <v>3</v>
      </c>
      <c r="C13" s="3">
        <f t="shared" si="0"/>
        <v>13.875</v>
      </c>
      <c r="D13">
        <v>185</v>
      </c>
      <c r="E13" s="2">
        <v>60</v>
      </c>
      <c r="F13">
        <v>800</v>
      </c>
      <c r="G13" s="8">
        <f>L$51/L$52*E13/(F13*K$1)</f>
        <v>1.5295743194668925</v>
      </c>
      <c r="H13" s="8" t="str">
        <f>L$50</f>
        <v>LF</v>
      </c>
      <c r="I13" s="3">
        <f t="shared" si="1"/>
        <v>20</v>
      </c>
      <c r="J13" s="3" t="s">
        <v>148</v>
      </c>
      <c r="P13" s="3"/>
    </row>
    <row r="14" spans="1:23" x14ac:dyDescent="0.25">
      <c r="A14" t="s">
        <v>19</v>
      </c>
      <c r="B14">
        <v>1.25</v>
      </c>
      <c r="C14" s="3">
        <f t="shared" si="0"/>
        <v>205.16129032258064</v>
      </c>
      <c r="D14">
        <v>265</v>
      </c>
      <c r="E14" s="2">
        <v>240</v>
      </c>
      <c r="F14">
        <v>310</v>
      </c>
      <c r="G14" s="8">
        <f>L$65/(L$65*L$66+M$65*M$66)*E14/(F14*K$1)</f>
        <v>7.1051194194591121</v>
      </c>
      <c r="H14" s="8">
        <f>M$65/(L$65*L$66+M$65*M$66)*E14/(F14*K$1)</f>
        <v>8.6840348460055825</v>
      </c>
      <c r="I14" s="3">
        <f t="shared" si="1"/>
        <v>192</v>
      </c>
      <c r="J14" s="3" t="s">
        <v>148</v>
      </c>
    </row>
    <row r="15" spans="1:23" x14ac:dyDescent="0.25">
      <c r="A15" t="s">
        <v>20</v>
      </c>
      <c r="B15">
        <v>1.5</v>
      </c>
      <c r="C15" s="3">
        <f t="shared" si="0"/>
        <v>167.96875</v>
      </c>
      <c r="D15">
        <v>250</v>
      </c>
      <c r="E15" s="2">
        <v>215</v>
      </c>
      <c r="F15">
        <v>320</v>
      </c>
      <c r="G15" s="8">
        <f>L$65/(L$65*L$66+M$65*M$66)*E15/(F15*K$1)</f>
        <v>6.1660964753509093</v>
      </c>
      <c r="H15" s="8">
        <f>M$65/(L$65*L$66+M$65*M$66)*E15/(F15*K$1)</f>
        <v>7.5363401365400007</v>
      </c>
      <c r="I15" s="3">
        <f t="shared" si="1"/>
        <v>143.33333333333334</v>
      </c>
      <c r="J15" s="3" t="s">
        <v>148</v>
      </c>
    </row>
    <row r="16" spans="1:23" x14ac:dyDescent="0.25">
      <c r="A16" t="s">
        <v>21</v>
      </c>
      <c r="B16">
        <v>0.9</v>
      </c>
      <c r="C16" s="3">
        <f t="shared" si="0"/>
        <v>108.19672131147541</v>
      </c>
      <c r="D16">
        <v>275</v>
      </c>
      <c r="E16" s="2">
        <v>120</v>
      </c>
      <c r="F16">
        <v>305</v>
      </c>
      <c r="G16" s="8">
        <f>L$65/(L$65*L$66+M$65*M$66)*E16/(F16*K$1)</f>
        <v>3.6107983934956143</v>
      </c>
      <c r="H16" s="8">
        <f>M$65/(L$65*L$66+M$65*M$66)*E16/(F16*K$1)</f>
        <v>4.4131980364946397</v>
      </c>
      <c r="I16" s="3">
        <f t="shared" si="1"/>
        <v>133.33333333333334</v>
      </c>
      <c r="J16" s="3" t="s">
        <v>148</v>
      </c>
    </row>
    <row r="17" spans="1:13" x14ac:dyDescent="0.25">
      <c r="A17" t="s">
        <v>27</v>
      </c>
      <c r="B17">
        <v>0.09</v>
      </c>
      <c r="C17" s="3">
        <f t="shared" si="0"/>
        <v>9.6</v>
      </c>
      <c r="D17">
        <v>120</v>
      </c>
      <c r="E17" s="2">
        <v>20</v>
      </c>
      <c r="F17">
        <v>250</v>
      </c>
      <c r="G17" s="8">
        <f>L$57/L$58*E17/(F17*K$1)</f>
        <v>2.0394324259558565</v>
      </c>
      <c r="H17" s="8" t="str">
        <f>L$56</f>
        <v>MonoP</v>
      </c>
      <c r="I17" s="3">
        <f t="shared" si="1"/>
        <v>222.22222222222223</v>
      </c>
      <c r="J17" s="3" t="s">
        <v>148</v>
      </c>
    </row>
    <row r="18" spans="1:13" x14ac:dyDescent="0.25">
      <c r="A18" t="s">
        <v>22</v>
      </c>
      <c r="B18">
        <v>3</v>
      </c>
      <c r="C18" s="3">
        <f t="shared" si="0"/>
        <v>568.75</v>
      </c>
      <c r="D18">
        <v>280</v>
      </c>
      <c r="E18" s="2">
        <v>650</v>
      </c>
      <c r="F18">
        <v>320</v>
      </c>
      <c r="G18" s="8">
        <f>L$65/(L$65*L$66+M$65*M$66)*E18/(F18*K$1)</f>
        <v>18.641687018502751</v>
      </c>
      <c r="H18" s="8">
        <f>M$65/(L$65*L$66+M$65*M$66)*E18/(F18*K$1)</f>
        <v>22.784284133725581</v>
      </c>
      <c r="I18" s="3">
        <f t="shared" si="1"/>
        <v>216.66666666666666</v>
      </c>
      <c r="J18" s="3" t="s">
        <v>148</v>
      </c>
      <c r="L18">
        <f>(Engines[[#This Row],[D lf]]+Engines[[#This Row],[D ox]])*L22</f>
        <v>1748.9062499999993</v>
      </c>
      <c r="M18">
        <f>L18/4</f>
        <v>437.22656249999983</v>
      </c>
    </row>
    <row r="19" spans="1:13" x14ac:dyDescent="0.25">
      <c r="A19" t="s">
        <v>23</v>
      </c>
      <c r="B19">
        <v>1.75</v>
      </c>
      <c r="C19" s="3">
        <f t="shared" si="0"/>
        <v>64.285714285714292</v>
      </c>
      <c r="D19">
        <v>90</v>
      </c>
      <c r="E19" s="2">
        <v>250</v>
      </c>
      <c r="F19">
        <v>350</v>
      </c>
      <c r="G19" s="8">
        <f>L$65/(L$65*L$66+M$65*M$66)*E19/(F19*K$1)</f>
        <v>6.5553185120009667</v>
      </c>
      <c r="H19" s="8">
        <f>M$65/(L$65*L$66+M$65*M$66)*E19/(F19*K$1)</f>
        <v>8.012055959112292</v>
      </c>
      <c r="I19" s="3">
        <f t="shared" si="1"/>
        <v>142.85714285714286</v>
      </c>
      <c r="J19" s="3" t="s">
        <v>148</v>
      </c>
    </row>
    <row r="20" spans="1:13" x14ac:dyDescent="0.25">
      <c r="A20" t="s">
        <v>24</v>
      </c>
      <c r="B20">
        <v>6</v>
      </c>
      <c r="C20" s="3">
        <f t="shared" si="0"/>
        <v>1379.0322580645161</v>
      </c>
      <c r="D20">
        <v>285</v>
      </c>
      <c r="E20" s="2">
        <v>1500</v>
      </c>
      <c r="F20">
        <v>310</v>
      </c>
      <c r="G20" s="8">
        <f>L$65/(L$65*L$66+M$65*M$66)*E20/(F20*K$1)</f>
        <v>44.406996371619449</v>
      </c>
      <c r="H20" s="8">
        <f>M$65/(L$65*L$66+M$65*M$66)*E20/(F20*K$1)</f>
        <v>54.275217787534885</v>
      </c>
      <c r="I20" s="3">
        <f t="shared" si="1"/>
        <v>250</v>
      </c>
      <c r="J20" s="3" t="s">
        <v>148</v>
      </c>
      <c r="L20">
        <f>(Engines[[#This Row],[D lf]]+Engines[[#This Row],[D ox]])*L27</f>
        <v>6196.4371689937389</v>
      </c>
    </row>
    <row r="21" spans="1:13" x14ac:dyDescent="0.25">
      <c r="A21" t="s">
        <v>26</v>
      </c>
      <c r="B21">
        <v>1</v>
      </c>
      <c r="C21" s="3">
        <f t="shared" si="0"/>
        <v>153.52941176470588</v>
      </c>
      <c r="D21">
        <v>290</v>
      </c>
      <c r="E21" s="2">
        <v>180</v>
      </c>
      <c r="F21">
        <v>340</v>
      </c>
      <c r="G21" s="8">
        <f>L$65/(L$65*L$66+M$65*M$66)*E21/(F21*K$1)</f>
        <v>4.8586478383065987</v>
      </c>
      <c r="H21" s="8">
        <f>M$65/(L$65*L$66+M$65*M$66)*E21/(F21*K$1)</f>
        <v>5.9383473579302866</v>
      </c>
      <c r="I21" s="3">
        <f t="shared" si="1"/>
        <v>180</v>
      </c>
      <c r="J21" s="3" t="s">
        <v>148</v>
      </c>
    </row>
    <row r="22" spans="1:13" x14ac:dyDescent="0.25">
      <c r="A22" t="s">
        <v>88</v>
      </c>
      <c r="B22">
        <v>1.5</v>
      </c>
      <c r="C22" s="3">
        <f t="shared" si="0"/>
        <v>250</v>
      </c>
      <c r="D22">
        <v>175</v>
      </c>
      <c r="E22" s="2">
        <v>300</v>
      </c>
      <c r="F22">
        <v>210</v>
      </c>
      <c r="G22" s="8">
        <f t="shared" ref="G22:G30" si="5">L$48/L$49*E22/(F22*K$1)</f>
        <v>19.423165961484351</v>
      </c>
      <c r="H22" s="8" t="str">
        <f t="shared" ref="H22:H30" si="6">L$47</f>
        <v>Solid</v>
      </c>
      <c r="I22" s="3">
        <f t="shared" si="1"/>
        <v>200</v>
      </c>
      <c r="J22" s="3" t="s">
        <v>148</v>
      </c>
      <c r="L22" s="3">
        <f>820/Engines[[#This Row],[D lf]]</f>
        <v>42.21762824999999</v>
      </c>
    </row>
    <row r="23" spans="1:13" x14ac:dyDescent="0.25">
      <c r="A23" t="s">
        <v>471</v>
      </c>
      <c r="B23">
        <v>0.15</v>
      </c>
      <c r="C23" s="5">
        <f>E23*D23/F23</f>
        <v>26.511627906976745</v>
      </c>
      <c r="D23">
        <v>190</v>
      </c>
      <c r="E23" s="4">
        <v>30</v>
      </c>
      <c r="F23">
        <v>215</v>
      </c>
      <c r="G23" s="8">
        <f t="shared" si="5"/>
        <v>1.8971464427496343</v>
      </c>
      <c r="H23" s="8" t="str">
        <f t="shared" si="6"/>
        <v>Solid</v>
      </c>
      <c r="I23" s="3">
        <f>E23/B23</f>
        <v>200</v>
      </c>
      <c r="J23" s="3" t="s">
        <v>148</v>
      </c>
      <c r="L23" s="3"/>
    </row>
    <row r="24" spans="1:13" x14ac:dyDescent="0.25">
      <c r="A24" t="s">
        <v>467</v>
      </c>
      <c r="B24">
        <v>7.4999999999999997E-2</v>
      </c>
      <c r="C24" s="5">
        <f>E24*D24/F24</f>
        <v>11.011904761904763</v>
      </c>
      <c r="D24">
        <v>185</v>
      </c>
      <c r="E24" s="4">
        <v>12.5</v>
      </c>
      <c r="F24">
        <v>210</v>
      </c>
      <c r="G24" s="8">
        <f t="shared" si="5"/>
        <v>0.80929858172851454</v>
      </c>
      <c r="H24" s="8" t="str">
        <f t="shared" si="6"/>
        <v>Solid</v>
      </c>
      <c r="I24" s="3">
        <f>E24/B24</f>
        <v>166.66666666666669</v>
      </c>
      <c r="J24" s="3" t="s">
        <v>148</v>
      </c>
      <c r="L24" s="3"/>
    </row>
    <row r="25" spans="1:13" x14ac:dyDescent="0.25">
      <c r="A25" t="s">
        <v>89</v>
      </c>
      <c r="B25">
        <v>0.75</v>
      </c>
      <c r="C25" s="3">
        <f t="shared" si="0"/>
        <v>197.89743589743588</v>
      </c>
      <c r="D25">
        <v>170</v>
      </c>
      <c r="E25" s="2">
        <v>227</v>
      </c>
      <c r="F25">
        <v>195</v>
      </c>
      <c r="G25" s="8">
        <f t="shared" si="5"/>
        <v>15.827390109127503</v>
      </c>
      <c r="H25" s="8" t="str">
        <f t="shared" si="6"/>
        <v>Solid</v>
      </c>
      <c r="I25" s="3">
        <f t="shared" si="1"/>
        <v>302.66666666666669</v>
      </c>
      <c r="J25" s="3" t="s">
        <v>148</v>
      </c>
      <c r="L25" s="3">
        <f>375/Engines[[#This Row],[D lf]]</f>
        <v>23.693104006057268</v>
      </c>
    </row>
    <row r="26" spans="1:13" x14ac:dyDescent="0.25">
      <c r="A26" t="s">
        <v>90</v>
      </c>
      <c r="B26">
        <v>0.45</v>
      </c>
      <c r="C26" s="3">
        <f t="shared" si="0"/>
        <v>162.90909090909091</v>
      </c>
      <c r="D26">
        <v>140</v>
      </c>
      <c r="E26" s="2">
        <v>192</v>
      </c>
      <c r="F26">
        <v>165</v>
      </c>
      <c r="G26" s="8">
        <f t="shared" si="5"/>
        <v>15.82105154680907</v>
      </c>
      <c r="H26" s="8" t="str">
        <f t="shared" si="6"/>
        <v>Solid</v>
      </c>
      <c r="I26" s="3">
        <f t="shared" si="1"/>
        <v>426.66666666666663</v>
      </c>
      <c r="J26" s="3" t="s">
        <v>148</v>
      </c>
      <c r="L26" s="3">
        <f>140/Engines[[#This Row],[D lf]]</f>
        <v>8.8489693359374986</v>
      </c>
    </row>
    <row r="27" spans="1:13" x14ac:dyDescent="0.25">
      <c r="A27" t="s">
        <v>91</v>
      </c>
      <c r="B27">
        <v>4.5</v>
      </c>
      <c r="C27" s="3">
        <f t="shared" si="0"/>
        <v>593.86363636363637</v>
      </c>
      <c r="D27">
        <v>195</v>
      </c>
      <c r="E27" s="2">
        <v>670</v>
      </c>
      <c r="F27">
        <v>220</v>
      </c>
      <c r="G27" s="8">
        <f t="shared" si="5"/>
        <v>41.406658345164367</v>
      </c>
      <c r="H27" s="8" t="str">
        <f t="shared" si="6"/>
        <v>Solid</v>
      </c>
      <c r="I27" s="3">
        <f t="shared" si="1"/>
        <v>148.88888888888889</v>
      </c>
      <c r="J27" s="3" t="s">
        <v>148</v>
      </c>
      <c r="L27" s="3">
        <f>2600/Engines[[#This Row],[D lf]]</f>
        <v>62.791833582089538</v>
      </c>
    </row>
    <row r="28" spans="1:13" x14ac:dyDescent="0.25">
      <c r="A28" t="s">
        <v>515</v>
      </c>
      <c r="B28">
        <v>10</v>
      </c>
      <c r="C28" s="5">
        <f>E28*D28/F28</f>
        <v>1515.2173913043478</v>
      </c>
      <c r="D28">
        <v>205</v>
      </c>
      <c r="E28" s="4">
        <v>1700</v>
      </c>
      <c r="F28">
        <v>230</v>
      </c>
      <c r="G28" s="8">
        <f t="shared" si="5"/>
        <v>100.49377171376686</v>
      </c>
      <c r="H28" s="8" t="str">
        <f t="shared" si="6"/>
        <v>Solid</v>
      </c>
      <c r="I28" s="3">
        <f>E28/B28</f>
        <v>170</v>
      </c>
      <c r="J28" s="3" t="s">
        <v>148</v>
      </c>
      <c r="L28" s="3"/>
    </row>
    <row r="29" spans="1:13" x14ac:dyDescent="0.25">
      <c r="A29" t="s">
        <v>516</v>
      </c>
      <c r="B29">
        <v>21</v>
      </c>
      <c r="C29" s="5">
        <f>E29*D29/F29</f>
        <v>2948.9361702127658</v>
      </c>
      <c r="D29">
        <v>210</v>
      </c>
      <c r="E29" s="4">
        <v>3300</v>
      </c>
      <c r="F29">
        <v>235</v>
      </c>
      <c r="G29" s="8">
        <f t="shared" si="5"/>
        <v>190.92558881288872</v>
      </c>
      <c r="H29" s="8" t="str">
        <f t="shared" si="6"/>
        <v>Solid</v>
      </c>
      <c r="I29" s="3">
        <f>E29/B29</f>
        <v>157.14285714285714</v>
      </c>
      <c r="J29" s="3" t="s">
        <v>148</v>
      </c>
      <c r="L29" s="3"/>
    </row>
    <row r="30" spans="1:13" x14ac:dyDescent="0.25">
      <c r="A30" t="s">
        <v>93</v>
      </c>
      <c r="B30">
        <v>1.2500000000000001E-2</v>
      </c>
      <c r="C30" s="3">
        <f t="shared" si="0"/>
        <v>13.792207792207792</v>
      </c>
      <c r="D30">
        <v>118</v>
      </c>
      <c r="E30" s="2">
        <v>18</v>
      </c>
      <c r="F30">
        <v>154</v>
      </c>
      <c r="G30" s="8">
        <f t="shared" si="5"/>
        <v>1.5891681241214468</v>
      </c>
      <c r="H30" s="8" t="str">
        <f t="shared" si="6"/>
        <v>Solid</v>
      </c>
      <c r="I30" s="3">
        <f t="shared" si="1"/>
        <v>1440</v>
      </c>
      <c r="J30" s="3" t="s">
        <v>148</v>
      </c>
      <c r="L30" s="3">
        <f>8/Engines[[#This Row],[D lf]]</f>
        <v>5.0340803333333328</v>
      </c>
    </row>
    <row r="31" spans="1:13" x14ac:dyDescent="0.25">
      <c r="A31" t="s">
        <v>136</v>
      </c>
      <c r="B31">
        <v>0.05</v>
      </c>
      <c r="C31" s="5">
        <f t="shared" si="0"/>
        <v>0.41666666666666669</v>
      </c>
      <c r="D31">
        <v>100</v>
      </c>
      <c r="E31" s="4">
        <v>1</v>
      </c>
      <c r="F31">
        <v>240</v>
      </c>
      <c r="G31" s="8">
        <f>L$57/L$58*E31/(F31*K$1)</f>
        <v>0.10622043885186752</v>
      </c>
      <c r="H31" s="8" t="str">
        <f>L$56</f>
        <v>MonoP</v>
      </c>
      <c r="I31" s="3">
        <f t="shared" si="1"/>
        <v>20</v>
      </c>
      <c r="J31" s="3" t="s">
        <v>148</v>
      </c>
    </row>
    <row r="32" spans="1:13" x14ac:dyDescent="0.25">
      <c r="A32" t="s">
        <v>135</v>
      </c>
      <c r="B32">
        <v>0.03</v>
      </c>
      <c r="C32" s="5">
        <f t="shared" si="0"/>
        <v>0.83333333333333337</v>
      </c>
      <c r="D32">
        <v>100</v>
      </c>
      <c r="E32" s="4">
        <v>2</v>
      </c>
      <c r="F32">
        <v>240</v>
      </c>
      <c r="G32" s="8">
        <f>L$57/L$58*E32/(F32*K$1)</f>
        <v>0.21244087770373504</v>
      </c>
      <c r="H32" s="8" t="str">
        <f>L$56</f>
        <v>MonoP</v>
      </c>
      <c r="I32" s="3">
        <f t="shared" si="1"/>
        <v>66.666666666666671</v>
      </c>
      <c r="J32" s="3" t="s">
        <v>148</v>
      </c>
    </row>
    <row r="33" spans="1:12" hidden="1" x14ac:dyDescent="0.25">
      <c r="A33" t="s">
        <v>301</v>
      </c>
      <c r="B33">
        <v>50</v>
      </c>
      <c r="C33" s="2">
        <f t="shared" si="0"/>
        <v>6000</v>
      </c>
      <c r="D33">
        <v>19570.7</v>
      </c>
      <c r="E33" s="2">
        <v>6000</v>
      </c>
      <c r="F33">
        <v>19570.7</v>
      </c>
      <c r="G33" s="8">
        <f>200*E33/(F33*K$1)</f>
        <v>6.252507348094416</v>
      </c>
      <c r="H33" s="8" t="s">
        <v>300</v>
      </c>
      <c r="I33" s="3">
        <f t="shared" si="1"/>
        <v>120</v>
      </c>
      <c r="J33" s="3" t="s">
        <v>299</v>
      </c>
    </row>
    <row r="34" spans="1:12" hidden="1" x14ac:dyDescent="0.25">
      <c r="A34" t="s">
        <v>302</v>
      </c>
      <c r="B34">
        <v>50</v>
      </c>
      <c r="C34" s="2">
        <f t="shared" si="0"/>
        <v>40330.272372946121</v>
      </c>
      <c r="D34">
        <v>65800.7</v>
      </c>
      <c r="E34" s="2">
        <v>40100</v>
      </c>
      <c r="F34">
        <v>65425</v>
      </c>
      <c r="G34" s="8">
        <f>200*E34/(F34*K$1)</f>
        <v>12.499998514456225</v>
      </c>
      <c r="H34" s="8" t="s">
        <v>300</v>
      </c>
      <c r="I34" s="3">
        <f t="shared" si="1"/>
        <v>802</v>
      </c>
      <c r="J34" s="3" t="s">
        <v>299</v>
      </c>
    </row>
    <row r="35" spans="1:12" hidden="1" x14ac:dyDescent="0.25">
      <c r="A35" t="s">
        <v>303</v>
      </c>
      <c r="B35">
        <v>50</v>
      </c>
      <c r="C35" s="2">
        <f t="shared" si="0"/>
        <v>271160</v>
      </c>
      <c r="D35">
        <v>221205</v>
      </c>
      <c r="E35" s="2">
        <v>271160</v>
      </c>
      <c r="F35">
        <v>221205</v>
      </c>
      <c r="G35" s="8">
        <f>200*E35/(F35*K$1)</f>
        <v>24.999999847299566</v>
      </c>
      <c r="H35" s="8" t="s">
        <v>300</v>
      </c>
      <c r="I35" s="3">
        <f t="shared" si="1"/>
        <v>5423.2</v>
      </c>
      <c r="J35" s="3" t="s">
        <v>299</v>
      </c>
    </row>
    <row r="36" spans="1:12" hidden="1" x14ac:dyDescent="0.25">
      <c r="A36" t="s">
        <v>84</v>
      </c>
      <c r="B36">
        <v>41</v>
      </c>
      <c r="C36" s="3">
        <f t="shared" si="0"/>
        <v>8697.9458450046677</v>
      </c>
      <c r="D36" s="5">
        <v>278.07462686567169</v>
      </c>
      <c r="E36" s="4">
        <v>10000</v>
      </c>
      <c r="F36" s="5">
        <v>319.70149253731347</v>
      </c>
      <c r="G36" s="8">
        <f>90*E36/(F36*K$1)</f>
        <v>287.06296751899663</v>
      </c>
      <c r="H36" s="8">
        <f>110*E36/(F36*K$1)</f>
        <v>350.85473807877361</v>
      </c>
      <c r="I36" s="3">
        <f t="shared" si="1"/>
        <v>243.90243902439025</v>
      </c>
      <c r="J36" s="3" t="s">
        <v>45</v>
      </c>
    </row>
    <row r="37" spans="1:12" hidden="1" x14ac:dyDescent="0.25">
      <c r="A37" t="s">
        <v>274</v>
      </c>
      <c r="B37">
        <v>24</v>
      </c>
      <c r="C37" s="3">
        <f t="shared" si="0"/>
        <v>2439.5147058823532</v>
      </c>
      <c r="D37" s="5">
        <v>204.74821031843987</v>
      </c>
      <c r="E37" s="4">
        <v>4120</v>
      </c>
      <c r="F37" s="5">
        <v>345.79116267588245</v>
      </c>
      <c r="G37" s="8">
        <f>G7*2+G13*2</f>
        <v>111.02910060130264</v>
      </c>
      <c r="H37" s="8">
        <f>H7*2</f>
        <v>131.96327462067305</v>
      </c>
      <c r="I37" s="3">
        <f t="shared" si="1"/>
        <v>171.66666666666666</v>
      </c>
      <c r="J37" s="3" t="s">
        <v>45</v>
      </c>
    </row>
    <row r="38" spans="1:12" hidden="1" x14ac:dyDescent="0.25">
      <c r="A38" t="s">
        <v>85</v>
      </c>
      <c r="B38">
        <v>7</v>
      </c>
      <c r="C38" s="3">
        <f t="shared" si="0"/>
        <v>338.4651639344263</v>
      </c>
      <c r="D38" s="5">
        <v>269.62291870714989</v>
      </c>
      <c r="E38" s="4">
        <v>420</v>
      </c>
      <c r="F38" s="5">
        <v>334.57394711067582</v>
      </c>
      <c r="G38" s="8">
        <f>G4*2+G13</f>
        <v>12.361969499953736</v>
      </c>
      <c r="H38" s="8">
        <f>H4*2</f>
        <v>13.239594109483919</v>
      </c>
      <c r="I38" s="3">
        <f t="shared" si="1"/>
        <v>60</v>
      </c>
      <c r="J38" s="3" t="s">
        <v>45</v>
      </c>
    </row>
    <row r="39" spans="1:12" hidden="1" x14ac:dyDescent="0.25">
      <c r="A39" t="s">
        <v>273</v>
      </c>
      <c r="B39">
        <v>9</v>
      </c>
      <c r="C39" s="3">
        <f>E39*D39/F39</f>
        <v>1151.375</v>
      </c>
      <c r="D39" s="3">
        <v>278.2779456193353</v>
      </c>
      <c r="E39" s="2">
        <v>1360</v>
      </c>
      <c r="F39" s="5">
        <v>328.70090634441084</v>
      </c>
      <c r="G39" s="8">
        <f>G18*2+G13</f>
        <v>38.812948356472397</v>
      </c>
      <c r="H39" s="8">
        <f>H18*2</f>
        <v>45.568568267451163</v>
      </c>
      <c r="I39" s="3">
        <f>E39/B39</f>
        <v>151.11111111111111</v>
      </c>
      <c r="J39" s="3" t="s">
        <v>45</v>
      </c>
    </row>
    <row r="40" spans="1:12" hidden="1" x14ac:dyDescent="0.25">
      <c r="A40" t="s">
        <v>272</v>
      </c>
      <c r="B40">
        <v>7</v>
      </c>
      <c r="C40" s="3">
        <f>E40*D40/F40</f>
        <v>627.99264705882354</v>
      </c>
      <c r="D40">
        <v>286.40845070422534</v>
      </c>
      <c r="E40" s="2">
        <v>780</v>
      </c>
      <c r="F40" s="5">
        <v>355.73440643863177</v>
      </c>
      <c r="G40" s="8">
        <f>G21*4+G13</f>
        <v>20.964165672693287</v>
      </c>
      <c r="H40" s="8">
        <f>H21*4</f>
        <v>23.753389431721146</v>
      </c>
      <c r="I40" s="3">
        <f>E40/B40</f>
        <v>111.42857142857143</v>
      </c>
      <c r="J40" s="3" t="s">
        <v>45</v>
      </c>
    </row>
    <row r="41" spans="1:12" x14ac:dyDescent="0.25">
      <c r="A41" t="s">
        <v>137</v>
      </c>
      <c r="B41">
        <v>5</v>
      </c>
      <c r="C41" s="5">
        <f t="shared" ref="C41:C47" si="7">E41*D41/F41</f>
        <v>1303.4482758620691</v>
      </c>
      <c r="D41">
        <v>280</v>
      </c>
      <c r="E41" s="4">
        <v>1350</v>
      </c>
      <c r="F41">
        <v>290</v>
      </c>
      <c r="G41" s="8">
        <f t="shared" ref="G41:G47" si="8">90*E41/(F41*K$1)</f>
        <v>42.722593060971825</v>
      </c>
      <c r="H41" s="8">
        <f t="shared" ref="H41:H47" si="9">110*E41/(F41*K$1)</f>
        <v>52.216502630076668</v>
      </c>
      <c r="I41" s="3">
        <f t="shared" si="1"/>
        <v>270</v>
      </c>
      <c r="J41" s="3" t="s">
        <v>249</v>
      </c>
      <c r="L41" t="s">
        <v>28</v>
      </c>
    </row>
    <row r="42" spans="1:12" x14ac:dyDescent="0.25">
      <c r="A42" t="s">
        <v>138</v>
      </c>
      <c r="B42">
        <v>1</v>
      </c>
      <c r="C42" s="5">
        <f t="shared" si="7"/>
        <v>54.347826086956523</v>
      </c>
      <c r="D42">
        <v>150</v>
      </c>
      <c r="E42" s="4">
        <v>125</v>
      </c>
      <c r="F42">
        <v>345</v>
      </c>
      <c r="G42" s="8">
        <f t="shared" si="8"/>
        <v>3.3251615640584617</v>
      </c>
      <c r="H42" s="8">
        <f t="shared" si="9"/>
        <v>4.0640863560714529</v>
      </c>
      <c r="I42" s="3">
        <f t="shared" si="1"/>
        <v>125</v>
      </c>
      <c r="J42" s="3" t="s">
        <v>249</v>
      </c>
      <c r="L42">
        <v>1</v>
      </c>
    </row>
    <row r="43" spans="1:12" x14ac:dyDescent="0.25">
      <c r="A43" t="s">
        <v>139</v>
      </c>
      <c r="B43">
        <v>2</v>
      </c>
      <c r="C43" s="5">
        <f t="shared" si="7"/>
        <v>374.19354838709677</v>
      </c>
      <c r="D43">
        <v>290</v>
      </c>
      <c r="E43" s="4">
        <v>400</v>
      </c>
      <c r="F43">
        <v>310</v>
      </c>
      <c r="G43" s="8">
        <f t="shared" si="8"/>
        <v>11.841865699098522</v>
      </c>
      <c r="H43" s="8">
        <f t="shared" si="9"/>
        <v>14.473391410009304</v>
      </c>
      <c r="I43" s="3">
        <f t="shared" si="1"/>
        <v>200</v>
      </c>
      <c r="J43" s="3" t="s">
        <v>249</v>
      </c>
      <c r="L43">
        <v>1E-4</v>
      </c>
    </row>
    <row r="44" spans="1:12" x14ac:dyDescent="0.25">
      <c r="A44" t="s">
        <v>140</v>
      </c>
      <c r="B44">
        <v>1</v>
      </c>
      <c r="C44" s="5">
        <f t="shared" si="7"/>
        <v>240.90909090909091</v>
      </c>
      <c r="D44">
        <v>265</v>
      </c>
      <c r="E44" s="4">
        <v>300</v>
      </c>
      <c r="F44">
        <v>330</v>
      </c>
      <c r="G44" s="8">
        <f t="shared" si="8"/>
        <v>8.3431326516375961</v>
      </c>
      <c r="H44" s="8">
        <f t="shared" si="9"/>
        <v>10.197162129779283</v>
      </c>
      <c r="I44" s="3">
        <f t="shared" si="1"/>
        <v>300</v>
      </c>
      <c r="J44" s="3" t="s">
        <v>249</v>
      </c>
      <c r="L44" t="s">
        <v>470</v>
      </c>
    </row>
    <row r="45" spans="1:12" x14ac:dyDescent="0.25">
      <c r="A45" t="s">
        <v>141</v>
      </c>
      <c r="B45">
        <v>2.5</v>
      </c>
      <c r="C45" s="3">
        <f t="shared" si="7"/>
        <v>63.713592233009706</v>
      </c>
      <c r="D45">
        <v>70</v>
      </c>
      <c r="E45" s="2">
        <v>375</v>
      </c>
      <c r="F45">
        <v>412</v>
      </c>
      <c r="G45" s="8">
        <f t="shared" si="8"/>
        <v>8.3532578126225925</v>
      </c>
      <c r="H45" s="8">
        <f t="shared" si="9"/>
        <v>10.209537326538724</v>
      </c>
      <c r="I45" s="3">
        <f t="shared" si="1"/>
        <v>150</v>
      </c>
      <c r="J45" s="3" t="s">
        <v>249</v>
      </c>
      <c r="L45">
        <v>1</v>
      </c>
    </row>
    <row r="46" spans="1:12" x14ac:dyDescent="0.25">
      <c r="A46" t="s">
        <v>142</v>
      </c>
      <c r="B46">
        <v>1.25</v>
      </c>
      <c r="C46" s="3">
        <f t="shared" si="7"/>
        <v>208.52459016393442</v>
      </c>
      <c r="D46">
        <v>265</v>
      </c>
      <c r="E46" s="2">
        <v>240</v>
      </c>
      <c r="F46">
        <v>305</v>
      </c>
      <c r="G46" s="8">
        <f t="shared" si="8"/>
        <v>7.2215967869912303</v>
      </c>
      <c r="H46" s="8">
        <f t="shared" si="9"/>
        <v>8.8263960729892812</v>
      </c>
      <c r="I46" s="3">
        <f t="shared" si="1"/>
        <v>192</v>
      </c>
      <c r="J46" s="3" t="s">
        <v>249</v>
      </c>
      <c r="L46" s="77">
        <v>1.784E-6</v>
      </c>
    </row>
    <row r="47" spans="1:12" x14ac:dyDescent="0.25">
      <c r="A47" t="s">
        <v>143</v>
      </c>
      <c r="B47">
        <v>0.18</v>
      </c>
      <c r="C47" s="3">
        <f t="shared" si="7"/>
        <v>33.75</v>
      </c>
      <c r="D47">
        <v>270</v>
      </c>
      <c r="E47" s="2">
        <v>40</v>
      </c>
      <c r="F47">
        <v>320</v>
      </c>
      <c r="G47" s="8">
        <f t="shared" si="8"/>
        <v>1.1471807396001694</v>
      </c>
      <c r="H47" s="8">
        <f t="shared" si="9"/>
        <v>1.4021097928446515</v>
      </c>
      <c r="I47" s="3">
        <f t="shared" si="1"/>
        <v>222.22222222222223</v>
      </c>
      <c r="J47" s="3" t="s">
        <v>249</v>
      </c>
      <c r="L47" t="s">
        <v>92</v>
      </c>
    </row>
    <row r="48" spans="1:12" x14ac:dyDescent="0.25">
      <c r="A48" t="s">
        <v>137</v>
      </c>
      <c r="B48">
        <v>5</v>
      </c>
      <c r="C48" s="3">
        <f t="shared" ref="C48:C53" si="10">E48*D48/F48</f>
        <v>1303.4482758620691</v>
      </c>
      <c r="D48">
        <v>280</v>
      </c>
      <c r="E48" s="2">
        <v>1350</v>
      </c>
      <c r="F48">
        <v>290</v>
      </c>
      <c r="G48" s="8">
        <f t="shared" ref="G48:G54" si="11">L$65/(L$65*L$66+M$65*M$66)*E48/(F48*K$1)</f>
        <v>42.722593060971818</v>
      </c>
      <c r="H48" s="8">
        <f t="shared" ref="H48:H54" si="12">M$65/(L$65*L$66+M$65*M$66)*E48/(F48*K$1)</f>
        <v>52.216502630076661</v>
      </c>
      <c r="I48" s="3">
        <f t="shared" ref="I48:I53" si="13">E48/B48</f>
        <v>270</v>
      </c>
      <c r="J48" s="3" t="s">
        <v>249</v>
      </c>
      <c r="L48">
        <v>1</v>
      </c>
    </row>
    <row r="49" spans="1:20" x14ac:dyDescent="0.25">
      <c r="A49" t="s">
        <v>138</v>
      </c>
      <c r="B49">
        <v>1</v>
      </c>
      <c r="C49" s="3">
        <f t="shared" si="10"/>
        <v>54.347826086956523</v>
      </c>
      <c r="D49">
        <v>150</v>
      </c>
      <c r="E49" s="2">
        <v>125</v>
      </c>
      <c r="F49">
        <v>345</v>
      </c>
      <c r="G49" s="8">
        <f t="shared" si="11"/>
        <v>3.3251615640584613</v>
      </c>
      <c r="H49" s="8">
        <f t="shared" si="12"/>
        <v>4.0640863560714529</v>
      </c>
      <c r="I49" s="3">
        <f t="shared" si="13"/>
        <v>125</v>
      </c>
      <c r="J49" s="3" t="s">
        <v>249</v>
      </c>
      <c r="L49">
        <v>7.4999999999999997E-3</v>
      </c>
    </row>
    <row r="50" spans="1:20" x14ac:dyDescent="0.25">
      <c r="A50" t="s">
        <v>139</v>
      </c>
      <c r="B50">
        <v>2</v>
      </c>
      <c r="C50" s="5">
        <f t="shared" si="10"/>
        <v>374.19354838709677</v>
      </c>
      <c r="D50">
        <v>290</v>
      </c>
      <c r="E50" s="4">
        <v>400</v>
      </c>
      <c r="F50">
        <v>310</v>
      </c>
      <c r="G50" s="8">
        <f t="shared" si="11"/>
        <v>11.84186569909852</v>
      </c>
      <c r="H50" s="8">
        <f t="shared" si="12"/>
        <v>14.473391410009302</v>
      </c>
      <c r="I50" s="3">
        <f t="shared" si="13"/>
        <v>200</v>
      </c>
      <c r="J50" s="3" t="s">
        <v>249</v>
      </c>
      <c r="L50" t="s">
        <v>29</v>
      </c>
    </row>
    <row r="51" spans="1:20" x14ac:dyDescent="0.25">
      <c r="A51" t="s">
        <v>140</v>
      </c>
      <c r="B51">
        <v>1</v>
      </c>
      <c r="C51" s="5">
        <f t="shared" si="10"/>
        <v>240.90909090909091</v>
      </c>
      <c r="D51">
        <v>265</v>
      </c>
      <c r="E51" s="4">
        <v>300</v>
      </c>
      <c r="F51">
        <v>330</v>
      </c>
      <c r="G51" s="8">
        <f t="shared" si="11"/>
        <v>8.3431326516375943</v>
      </c>
      <c r="H51" s="8">
        <f t="shared" si="12"/>
        <v>10.197162129779281</v>
      </c>
      <c r="I51" s="3">
        <f t="shared" si="13"/>
        <v>300</v>
      </c>
      <c r="J51" s="3" t="s">
        <v>249</v>
      </c>
      <c r="L51">
        <v>1</v>
      </c>
    </row>
    <row r="52" spans="1:20" x14ac:dyDescent="0.25">
      <c r="A52" t="s">
        <v>141</v>
      </c>
      <c r="B52">
        <v>2.5</v>
      </c>
      <c r="C52" s="5">
        <f t="shared" si="10"/>
        <v>63.713592233009706</v>
      </c>
      <c r="D52">
        <v>70</v>
      </c>
      <c r="E52" s="4">
        <v>375</v>
      </c>
      <c r="F52">
        <v>412</v>
      </c>
      <c r="G52" s="8">
        <f t="shared" si="11"/>
        <v>8.3532578126225907</v>
      </c>
      <c r="H52" s="8">
        <f t="shared" si="12"/>
        <v>10.209537326538722</v>
      </c>
      <c r="I52" s="3">
        <f t="shared" si="13"/>
        <v>150</v>
      </c>
      <c r="J52" s="3" t="s">
        <v>249</v>
      </c>
      <c r="L52">
        <v>5.0000000000000001E-3</v>
      </c>
    </row>
    <row r="53" spans="1:20" x14ac:dyDescent="0.25">
      <c r="A53" t="s">
        <v>142</v>
      </c>
      <c r="B53">
        <v>1.25</v>
      </c>
      <c r="C53" s="5">
        <f t="shared" si="10"/>
        <v>208.52459016393442</v>
      </c>
      <c r="D53">
        <v>265</v>
      </c>
      <c r="E53" s="4">
        <v>240</v>
      </c>
      <c r="F53">
        <v>305</v>
      </c>
      <c r="G53" s="8">
        <f t="shared" si="11"/>
        <v>7.2215967869912285</v>
      </c>
      <c r="H53" s="8">
        <f t="shared" si="12"/>
        <v>8.8263960729892794</v>
      </c>
      <c r="I53" s="3">
        <f t="shared" si="13"/>
        <v>192</v>
      </c>
      <c r="J53" s="3" t="s">
        <v>249</v>
      </c>
      <c r="L53" t="s">
        <v>485</v>
      </c>
    </row>
    <row r="54" spans="1:20" x14ac:dyDescent="0.25">
      <c r="A54" t="s">
        <v>143</v>
      </c>
      <c r="B54">
        <v>0.18</v>
      </c>
      <c r="C54" s="5">
        <f t="shared" ref="C54:C60" si="14">E54*D54/F54</f>
        <v>33.75</v>
      </c>
      <c r="D54">
        <v>270</v>
      </c>
      <c r="E54" s="4">
        <v>40</v>
      </c>
      <c r="F54">
        <v>320</v>
      </c>
      <c r="G54" s="8">
        <f t="shared" si="11"/>
        <v>1.1471807396001692</v>
      </c>
      <c r="H54" s="8">
        <f t="shared" si="12"/>
        <v>1.4021097928446511</v>
      </c>
      <c r="I54" s="3">
        <f t="shared" ref="I54:I60" si="15">E54/B54</f>
        <v>222.22222222222223</v>
      </c>
      <c r="J54" s="3" t="s">
        <v>249</v>
      </c>
      <c r="L54">
        <v>1</v>
      </c>
    </row>
    <row r="55" spans="1:20" x14ac:dyDescent="0.25">
      <c r="A55" t="s">
        <v>472</v>
      </c>
      <c r="B55">
        <v>8</v>
      </c>
      <c r="C55" s="5">
        <f t="shared" si="14"/>
        <v>1155.5555555555557</v>
      </c>
      <c r="D55">
        <v>200</v>
      </c>
      <c r="E55" s="4">
        <v>1300</v>
      </c>
      <c r="F55">
        <v>225</v>
      </c>
      <c r="G55" s="8">
        <f>L$48/L$49*E55/(F55*K$1)</f>
        <v>78.555915666447817</v>
      </c>
      <c r="H55" s="8" t="str">
        <f>L$47</f>
        <v>Solid</v>
      </c>
      <c r="I55" s="3">
        <f t="shared" si="15"/>
        <v>162.5</v>
      </c>
      <c r="J55" s="3" t="s">
        <v>249</v>
      </c>
      <c r="L55">
        <v>5.3399999999999997E-4</v>
      </c>
    </row>
    <row r="56" spans="1:20" x14ac:dyDescent="0.25">
      <c r="A56" t="s">
        <v>481</v>
      </c>
      <c r="B56">
        <v>3.5</v>
      </c>
      <c r="C56" s="5">
        <f t="shared" si="14"/>
        <v>933.33333333333337</v>
      </c>
      <c r="D56">
        <v>280</v>
      </c>
      <c r="E56" s="4">
        <v>1000</v>
      </c>
      <c r="F56">
        <v>300</v>
      </c>
      <c r="G56" s="8">
        <f>L$65/(L$65*L$66+M$65*M$66)*E56/(F56*K$1)</f>
        <v>30.591486389337842</v>
      </c>
      <c r="H56" s="8">
        <f>M$65/(L$65*L$66+M$65*M$66)*E56/(F56*K$1)</f>
        <v>37.389594475857365</v>
      </c>
      <c r="I56" s="3">
        <f t="shared" si="15"/>
        <v>285.71428571428572</v>
      </c>
      <c r="J56" s="3" t="s">
        <v>535</v>
      </c>
      <c r="L56" t="s">
        <v>30</v>
      </c>
    </row>
    <row r="57" spans="1:20" x14ac:dyDescent="0.25">
      <c r="A57" t="s">
        <v>482</v>
      </c>
      <c r="B57">
        <v>5.25</v>
      </c>
      <c r="C57" s="5">
        <f t="shared" si="14"/>
        <v>200.70422535211267</v>
      </c>
      <c r="D57">
        <v>95</v>
      </c>
      <c r="E57" s="4">
        <v>750</v>
      </c>
      <c r="F57">
        <v>355</v>
      </c>
      <c r="G57" s="8">
        <f>L$65/(L$65*L$66+M$65*M$66)*E57/(F57*K$1)</f>
        <v>19.388970246763421</v>
      </c>
      <c r="H57" s="8">
        <f>M$65/(L$65*L$66+M$65*M$66)*E57/(F57*K$1)</f>
        <v>23.697630301599737</v>
      </c>
      <c r="I57" s="3">
        <f t="shared" si="15"/>
        <v>142.85714285714286</v>
      </c>
      <c r="J57" s="3" t="s">
        <v>535</v>
      </c>
      <c r="L57">
        <v>1</v>
      </c>
    </row>
    <row r="58" spans="1:20" x14ac:dyDescent="0.25">
      <c r="A58" t="s">
        <v>488</v>
      </c>
      <c r="B58">
        <v>0.2</v>
      </c>
      <c r="C58" s="5">
        <f t="shared" si="14"/>
        <v>11.363636363636363</v>
      </c>
      <c r="D58">
        <v>150</v>
      </c>
      <c r="E58" s="4">
        <v>25</v>
      </c>
      <c r="F58">
        <v>330</v>
      </c>
      <c r="G58" s="8">
        <f>L$65/(L$65*L$66+M$65*M$66)*E58/(F58*K$1)</f>
        <v>0.69526105430313279</v>
      </c>
      <c r="H58" s="8">
        <f>M$65/(L$65*L$66+M$65*M$66)*E58/(F58*K$1)</f>
        <v>0.84976351081494017</v>
      </c>
      <c r="I58" s="3">
        <f t="shared" si="15"/>
        <v>125</v>
      </c>
      <c r="J58" s="3" t="s">
        <v>535</v>
      </c>
      <c r="L58">
        <v>4.0000000000000001E-3</v>
      </c>
    </row>
    <row r="59" spans="1:20" x14ac:dyDescent="0.25">
      <c r="A59" t="s">
        <v>496</v>
      </c>
      <c r="B59">
        <v>0.75</v>
      </c>
      <c r="C59" s="5">
        <f t="shared" si="14"/>
        <v>88.888888888888886</v>
      </c>
      <c r="D59">
        <v>240</v>
      </c>
      <c r="E59" s="4">
        <v>100</v>
      </c>
      <c r="F59">
        <v>270</v>
      </c>
      <c r="G59" s="8">
        <f>L$65/(L$65*L$66+M$65*M$66)*E59/(F59*K$1)</f>
        <v>3.3990540432597607</v>
      </c>
      <c r="H59" s="8">
        <f>M$65/(L$65*L$66+M$65*M$66)*E59/(F59*K$1)</f>
        <v>4.1543993862063742</v>
      </c>
      <c r="I59" s="3">
        <f t="shared" si="15"/>
        <v>133.33333333333334</v>
      </c>
      <c r="J59" s="3" t="s">
        <v>535</v>
      </c>
      <c r="L59" t="s">
        <v>456</v>
      </c>
    </row>
    <row r="60" spans="1:20" x14ac:dyDescent="0.25">
      <c r="A60" t="s">
        <v>500</v>
      </c>
      <c r="B60">
        <v>0.28999999999999998</v>
      </c>
      <c r="C60" s="5">
        <f t="shared" si="14"/>
        <v>51.271186440677965</v>
      </c>
      <c r="D60">
        <v>275</v>
      </c>
      <c r="E60" s="4">
        <v>55</v>
      </c>
      <c r="F60">
        <v>295</v>
      </c>
      <c r="G60" s="8">
        <f>L$65/(L$65*L$66+M$65*M$66)*E60/(F60*K$1)</f>
        <v>1.7110492387256759</v>
      </c>
      <c r="H60" s="8">
        <f>M$65/(L$65*L$66+M$65*M$66)*E60/(F60*K$1)</f>
        <v>2.0912824028869372</v>
      </c>
      <c r="I60" s="3">
        <f t="shared" si="15"/>
        <v>189.65517241379311</v>
      </c>
      <c r="J60" s="3" t="s">
        <v>535</v>
      </c>
      <c r="L60">
        <v>1</v>
      </c>
    </row>
    <row r="61" spans="1:20" x14ac:dyDescent="0.25">
      <c r="A61" t="s">
        <v>448</v>
      </c>
      <c r="B61">
        <v>0.08</v>
      </c>
      <c r="C61" s="5">
        <f t="shared" ref="C61:C67" si="16">E61*D61/F61</f>
        <v>52.608695652173914</v>
      </c>
      <c r="D61">
        <v>220</v>
      </c>
      <c r="E61" s="4">
        <v>55</v>
      </c>
      <c r="F61">
        <v>230</v>
      </c>
      <c r="G61" s="8">
        <f>L$57/L$58*E61/(F61*K$1)</f>
        <v>6.0961295341071811</v>
      </c>
      <c r="H61" s="8" t="str">
        <f>L$56</f>
        <v>MonoP</v>
      </c>
      <c r="I61" s="3">
        <f t="shared" ref="I61:I67" si="17">E61/B61</f>
        <v>687.5</v>
      </c>
      <c r="J61" s="3" t="s">
        <v>449</v>
      </c>
      <c r="L61" s="76">
        <v>7.0850000000000001E-5</v>
      </c>
    </row>
    <row r="62" spans="1:20" x14ac:dyDescent="0.25">
      <c r="A62" t="s">
        <v>450</v>
      </c>
      <c r="B62">
        <v>0.15</v>
      </c>
      <c r="C62" s="5">
        <f t="shared" si="16"/>
        <v>114.78260869565217</v>
      </c>
      <c r="D62">
        <v>220</v>
      </c>
      <c r="E62" s="4">
        <v>120</v>
      </c>
      <c r="F62">
        <v>230</v>
      </c>
      <c r="G62" s="8">
        <f>L$57/L$58*E62/(F62*K$1)</f>
        <v>13.300646256233849</v>
      </c>
      <c r="H62" s="8" t="str">
        <f>L$56</f>
        <v>MonoP</v>
      </c>
      <c r="I62" s="3">
        <f t="shared" si="17"/>
        <v>800</v>
      </c>
      <c r="J62" s="3" t="s">
        <v>449</v>
      </c>
    </row>
    <row r="63" spans="1:20" x14ac:dyDescent="0.25">
      <c r="A63" t="s">
        <v>451</v>
      </c>
      <c r="B63">
        <v>7.6</v>
      </c>
      <c r="C63" s="5">
        <f t="shared" si="16"/>
        <v>733.030303030303</v>
      </c>
      <c r="D63">
        <v>295</v>
      </c>
      <c r="E63" s="4">
        <v>820</v>
      </c>
      <c r="F63">
        <v>330</v>
      </c>
      <c r="G63" s="8">
        <f>L$65/(L$65*L$66+M$65*M$66)*E63/(F63*K$1)</f>
        <v>22.804562581142758</v>
      </c>
      <c r="H63" s="8">
        <f>M$65/(L$65*L$66+M$65*M$66)*E63/(F63*K$1)</f>
        <v>27.872243154730036</v>
      </c>
      <c r="I63" s="3">
        <f t="shared" si="17"/>
        <v>107.89473684210527</v>
      </c>
      <c r="J63" s="3" t="s">
        <v>449</v>
      </c>
      <c r="L63" s="6" t="s">
        <v>587</v>
      </c>
      <c r="T63" s="5"/>
    </row>
    <row r="64" spans="1:20" x14ac:dyDescent="0.25">
      <c r="A64" t="s">
        <v>452</v>
      </c>
      <c r="B64">
        <v>7.9</v>
      </c>
      <c r="C64" s="5">
        <f t="shared" si="16"/>
        <v>456.52173913043481</v>
      </c>
      <c r="D64">
        <v>225</v>
      </c>
      <c r="E64" s="4">
        <v>700</v>
      </c>
      <c r="F64">
        <v>345</v>
      </c>
      <c r="G64" s="8">
        <f>L$65/(L$65*L$66+M$65*M$66)*E64/(F64*K$1)</f>
        <v>18.620904758727384</v>
      </c>
      <c r="H64" s="8">
        <f>M$65/(L$65*L$66+M$65*M$66)*E64/(F64*K$1)</f>
        <v>22.758883594000135</v>
      </c>
      <c r="I64" s="3">
        <f t="shared" si="17"/>
        <v>88.60759493670885</v>
      </c>
      <c r="J64" s="3" t="s">
        <v>449</v>
      </c>
      <c r="L64" t="s">
        <v>29</v>
      </c>
      <c r="M64" t="s">
        <v>457</v>
      </c>
    </row>
    <row r="65" spans="1:13" x14ac:dyDescent="0.25">
      <c r="A65" t="s">
        <v>453</v>
      </c>
      <c r="B65">
        <v>2.1</v>
      </c>
      <c r="C65" s="5">
        <f t="shared" si="16"/>
        <v>190.32258064516128</v>
      </c>
      <c r="D65">
        <v>295</v>
      </c>
      <c r="E65" s="4">
        <v>200</v>
      </c>
      <c r="F65">
        <v>310</v>
      </c>
      <c r="G65" s="8">
        <f>L$65/(L$65*L$66+M$65*M$66)*E65/(F65*K$1)</f>
        <v>5.9209328495492599</v>
      </c>
      <c r="H65" s="8">
        <f>M$65/(L$65*L$66+M$65*M$66)*E65/(F65*K$1)</f>
        <v>7.2366957050046512</v>
      </c>
      <c r="I65" s="3">
        <f t="shared" si="17"/>
        <v>95.238095238095241</v>
      </c>
      <c r="J65" s="3" t="s">
        <v>449</v>
      </c>
      <c r="L65">
        <v>0.9</v>
      </c>
      <c r="M65">
        <v>1.1000000000000001</v>
      </c>
    </row>
    <row r="66" spans="1:13" x14ac:dyDescent="0.25">
      <c r="A66" t="s">
        <v>454</v>
      </c>
      <c r="B66">
        <v>0.55000000000000004</v>
      </c>
      <c r="C66" s="5">
        <f t="shared" si="16"/>
        <v>13.010752688172044</v>
      </c>
      <c r="D66">
        <v>110</v>
      </c>
      <c r="E66" s="4">
        <v>55</v>
      </c>
      <c r="F66">
        <v>465</v>
      </c>
      <c r="G66" s="8">
        <f t="shared" ref="G66:G74" si="18">L$68/(L$68*L$69+M$68*M$69)*E66/(F66*K$1)</f>
        <v>29.840813595334836</v>
      </c>
      <c r="H66" s="8">
        <f t="shared" ref="H66:H74" si="19">M$68/(L$68*L$69+M$68*M$69)*E66/(F66*K$1)</f>
        <v>1.9893875730223225</v>
      </c>
      <c r="I66" s="3">
        <f t="shared" si="17"/>
        <v>99.999999999999986</v>
      </c>
      <c r="J66" s="3" t="s">
        <v>449</v>
      </c>
      <c r="L66" s="5">
        <v>5.0000000000000001E-3</v>
      </c>
      <c r="M66">
        <v>5.0000000000000001E-3</v>
      </c>
    </row>
    <row r="67" spans="1:13" x14ac:dyDescent="0.25">
      <c r="A67" t="s">
        <v>460</v>
      </c>
      <c r="B67">
        <v>2.25</v>
      </c>
      <c r="C67" s="5">
        <f t="shared" si="16"/>
        <v>153.27510917030568</v>
      </c>
      <c r="D67">
        <v>180</v>
      </c>
      <c r="E67" s="4">
        <v>390</v>
      </c>
      <c r="F67">
        <v>458</v>
      </c>
      <c r="G67" s="8">
        <f t="shared" si="18"/>
        <v>214.83253455791876</v>
      </c>
      <c r="H67" s="8">
        <f t="shared" si="19"/>
        <v>14.322168970527917</v>
      </c>
      <c r="I67" s="3">
        <f t="shared" si="17"/>
        <v>173.33333333333334</v>
      </c>
      <c r="J67" s="3" t="s">
        <v>449</v>
      </c>
      <c r="L67" t="s">
        <v>456</v>
      </c>
      <c r="M67" t="s">
        <v>457</v>
      </c>
    </row>
    <row r="68" spans="1:13" x14ac:dyDescent="0.25">
      <c r="A68" t="s">
        <v>461</v>
      </c>
      <c r="B68">
        <v>1.2</v>
      </c>
      <c r="C68" s="5">
        <f t="shared" ref="C68:C88" si="20">E68*D68/F68</f>
        <v>46.153846153846153</v>
      </c>
      <c r="D68">
        <v>120</v>
      </c>
      <c r="E68" s="4">
        <v>180</v>
      </c>
      <c r="F68">
        <v>468</v>
      </c>
      <c r="G68" s="8">
        <f t="shared" si="18"/>
        <v>97.034813439375512</v>
      </c>
      <c r="H68" s="8">
        <f t="shared" si="19"/>
        <v>6.4689875626250348</v>
      </c>
      <c r="I68" s="3">
        <f t="shared" ref="I68:I88" si="21">E68/B68</f>
        <v>150</v>
      </c>
      <c r="J68" s="3" t="s">
        <v>449</v>
      </c>
      <c r="L68">
        <v>15</v>
      </c>
      <c r="M68">
        <v>1</v>
      </c>
    </row>
    <row r="69" spans="1:13" x14ac:dyDescent="0.25">
      <c r="A69" t="s">
        <v>462</v>
      </c>
      <c r="B69">
        <v>3</v>
      </c>
      <c r="C69" s="5">
        <f t="shared" si="20"/>
        <v>106.83760683760684</v>
      </c>
      <c r="D69">
        <v>125</v>
      </c>
      <c r="E69" s="4">
        <v>400</v>
      </c>
      <c r="F69">
        <v>468</v>
      </c>
      <c r="G69" s="8">
        <f t="shared" si="18"/>
        <v>215.6329187541678</v>
      </c>
      <c r="H69" s="8">
        <f t="shared" si="19"/>
        <v>14.37552791694452</v>
      </c>
      <c r="I69" s="3">
        <f t="shared" si="21"/>
        <v>133.33333333333334</v>
      </c>
      <c r="J69" s="3" t="s">
        <v>449</v>
      </c>
      <c r="L69" s="76">
        <v>7.0850000000000001E-5</v>
      </c>
      <c r="M69">
        <v>5.0000000000000001E-3</v>
      </c>
    </row>
    <row r="70" spans="1:13" x14ac:dyDescent="0.25">
      <c r="A70" t="s">
        <v>463</v>
      </c>
      <c r="B70">
        <v>2.25</v>
      </c>
      <c r="C70" s="5">
        <f t="shared" si="20"/>
        <v>473.25581395348837</v>
      </c>
      <c r="D70">
        <v>370</v>
      </c>
      <c r="E70" s="4">
        <v>550</v>
      </c>
      <c r="F70">
        <v>430</v>
      </c>
      <c r="G70" s="8">
        <f t="shared" si="18"/>
        <v>322.69717027513258</v>
      </c>
      <c r="H70" s="8">
        <f t="shared" si="19"/>
        <v>21.513144685008839</v>
      </c>
      <c r="I70" s="3">
        <f t="shared" si="21"/>
        <v>244.44444444444446</v>
      </c>
      <c r="J70" s="3" t="s">
        <v>449</v>
      </c>
      <c r="L70" t="s">
        <v>456</v>
      </c>
      <c r="M70" t="s">
        <v>514</v>
      </c>
    </row>
    <row r="71" spans="1:13" x14ac:dyDescent="0.25">
      <c r="A71" t="s">
        <v>464</v>
      </c>
      <c r="B71">
        <v>0.16</v>
      </c>
      <c r="C71" s="5">
        <f t="shared" si="20"/>
        <v>35.135135135135137</v>
      </c>
      <c r="D71">
        <v>325</v>
      </c>
      <c r="E71" s="4">
        <v>40</v>
      </c>
      <c r="F71">
        <v>370</v>
      </c>
      <c r="G71" s="8">
        <f t="shared" si="18"/>
        <v>27.274650264040691</v>
      </c>
      <c r="H71" s="8">
        <f t="shared" si="19"/>
        <v>1.8183100176027127</v>
      </c>
      <c r="I71" s="3">
        <f t="shared" si="21"/>
        <v>250</v>
      </c>
      <c r="J71" s="3" t="s">
        <v>449</v>
      </c>
      <c r="L71">
        <v>1</v>
      </c>
      <c r="M71">
        <v>1E-4</v>
      </c>
    </row>
    <row r="72" spans="1:13" x14ac:dyDescent="0.25">
      <c r="A72" t="s">
        <v>465</v>
      </c>
      <c r="B72">
        <v>1.3</v>
      </c>
      <c r="C72" s="5">
        <f t="shared" si="20"/>
        <v>202.46478873239437</v>
      </c>
      <c r="D72">
        <v>375</v>
      </c>
      <c r="E72" s="4">
        <v>230</v>
      </c>
      <c r="F72">
        <v>426</v>
      </c>
      <c r="G72" s="8">
        <f t="shared" si="18"/>
        <v>136.21318881865392</v>
      </c>
      <c r="H72" s="8">
        <f t="shared" si="19"/>
        <v>9.0808792545769279</v>
      </c>
      <c r="I72" s="3">
        <f t="shared" si="21"/>
        <v>176.92307692307691</v>
      </c>
      <c r="J72" s="3" t="s">
        <v>449</v>
      </c>
      <c r="L72" s="76">
        <v>7.0850000000000001E-5</v>
      </c>
      <c r="M72">
        <v>1.0970000000000001E-2</v>
      </c>
    </row>
    <row r="73" spans="1:13" x14ac:dyDescent="0.25">
      <c r="A73" t="s">
        <v>466</v>
      </c>
      <c r="B73">
        <v>11.5</v>
      </c>
      <c r="C73" s="5">
        <f t="shared" si="20"/>
        <v>2537.1951219512193</v>
      </c>
      <c r="D73">
        <v>365</v>
      </c>
      <c r="E73" s="4">
        <v>2850</v>
      </c>
      <c r="F73">
        <v>410</v>
      </c>
      <c r="G73" s="8">
        <f t="shared" si="18"/>
        <v>1753.7267502092016</v>
      </c>
      <c r="H73" s="8">
        <f t="shared" si="19"/>
        <v>116.91511668061344</v>
      </c>
      <c r="I73" s="3">
        <f t="shared" si="21"/>
        <v>247.82608695652175</v>
      </c>
      <c r="J73" s="3" t="s">
        <v>449</v>
      </c>
    </row>
    <row r="74" spans="1:13" x14ac:dyDescent="0.25">
      <c r="A74" t="s">
        <v>455</v>
      </c>
      <c r="B74">
        <v>4.5999999999999996</v>
      </c>
      <c r="C74" s="5">
        <f t="shared" si="20"/>
        <v>915.63981042654029</v>
      </c>
      <c r="D74">
        <v>368</v>
      </c>
      <c r="E74" s="4">
        <v>1050</v>
      </c>
      <c r="F74">
        <v>422</v>
      </c>
      <c r="G74" s="8">
        <f t="shared" si="18"/>
        <v>627.73706324524926</v>
      </c>
      <c r="H74" s="8">
        <f t="shared" si="19"/>
        <v>41.849137549683284</v>
      </c>
      <c r="I74" s="3">
        <f t="shared" si="21"/>
        <v>228.2608695652174</v>
      </c>
      <c r="J74" s="3" t="s">
        <v>449</v>
      </c>
    </row>
    <row r="75" spans="1:13" x14ac:dyDescent="0.25">
      <c r="A75" t="s">
        <v>468</v>
      </c>
      <c r="B75">
        <v>0.25</v>
      </c>
      <c r="C75" s="5">
        <f t="shared" si="20"/>
        <v>4.2999999999999997E-2</v>
      </c>
      <c r="D75">
        <v>96.5</v>
      </c>
      <c r="E75" s="4">
        <v>4.3</v>
      </c>
      <c r="F75">
        <v>9650</v>
      </c>
      <c r="G75" s="8">
        <f>L$42/L$43*E75/(F75*K$1)</f>
        <v>0.45438131770000945</v>
      </c>
      <c r="H75" s="8" t="str">
        <f>L$41</f>
        <v>Xenon</v>
      </c>
      <c r="I75" s="3">
        <f t="shared" si="21"/>
        <v>17.2</v>
      </c>
      <c r="J75" s="3" t="s">
        <v>449</v>
      </c>
    </row>
    <row r="76" spans="1:13" x14ac:dyDescent="0.25">
      <c r="A76" t="s">
        <v>469</v>
      </c>
      <c r="B76">
        <v>0.25</v>
      </c>
      <c r="C76" s="5">
        <f t="shared" si="20"/>
        <v>3.85E-2</v>
      </c>
      <c r="D76">
        <v>192</v>
      </c>
      <c r="E76" s="4">
        <v>3.85</v>
      </c>
      <c r="F76">
        <v>19200</v>
      </c>
      <c r="G76" s="8">
        <f>L$42/L$43*E76/(F76*K$1)</f>
        <v>0.204474344789845</v>
      </c>
      <c r="H76" s="8" t="str">
        <f>L$41</f>
        <v>Xenon</v>
      </c>
      <c r="I76" s="3">
        <f t="shared" si="21"/>
        <v>15.4</v>
      </c>
      <c r="J76" s="3" t="s">
        <v>449</v>
      </c>
    </row>
    <row r="77" spans="1:13" x14ac:dyDescent="0.25">
      <c r="A77" t="s">
        <v>473</v>
      </c>
      <c r="B77">
        <v>0.1</v>
      </c>
      <c r="C77" s="5">
        <f t="shared" si="20"/>
        <v>1.4999999999999999E-2</v>
      </c>
      <c r="D77">
        <v>22</v>
      </c>
      <c r="E77" s="4">
        <v>1.5</v>
      </c>
      <c r="F77">
        <v>2200</v>
      </c>
      <c r="G77" s="8">
        <f>L$45/L$46*E77/(F77*K$1)</f>
        <v>38.972032191879656</v>
      </c>
      <c r="H77" s="8" t="str">
        <f>L$44</f>
        <v>Argon</v>
      </c>
      <c r="I77" s="3">
        <f t="shared" si="21"/>
        <v>15</v>
      </c>
      <c r="J77" s="3" t="s">
        <v>449</v>
      </c>
    </row>
    <row r="78" spans="1:13" x14ac:dyDescent="0.25">
      <c r="A78" t="s">
        <v>474</v>
      </c>
      <c r="B78">
        <v>0.3</v>
      </c>
      <c r="C78" s="5">
        <f t="shared" si="20"/>
        <v>8.3999999999999991E-2</v>
      </c>
      <c r="D78">
        <v>33</v>
      </c>
      <c r="E78" s="4">
        <v>8.4</v>
      </c>
      <c r="F78">
        <v>3300</v>
      </c>
      <c r="G78" s="8">
        <f>L$45/L$46*E78/(F78*K$1)</f>
        <v>145.49558684968403</v>
      </c>
      <c r="H78" s="8" t="str">
        <f>L$44</f>
        <v>Argon</v>
      </c>
      <c r="I78" s="3">
        <f t="shared" si="21"/>
        <v>28.000000000000004</v>
      </c>
      <c r="J78" s="3" t="s">
        <v>449</v>
      </c>
    </row>
    <row r="79" spans="1:13" x14ac:dyDescent="0.25">
      <c r="A79" t="s">
        <v>475</v>
      </c>
      <c r="B79">
        <v>0.15</v>
      </c>
      <c r="C79" s="5">
        <f t="shared" si="20"/>
        <v>3.3500000000000002E-2</v>
      </c>
      <c r="D79">
        <v>27</v>
      </c>
      <c r="E79" s="4">
        <v>3.35</v>
      </c>
      <c r="F79">
        <v>2700</v>
      </c>
      <c r="G79" s="8">
        <f>L$45/L$46*E79/(F79*K$1)</f>
        <v>70.919475865222978</v>
      </c>
      <c r="H79" s="8" t="str">
        <f>L$44</f>
        <v>Argon</v>
      </c>
      <c r="I79" s="3">
        <f t="shared" si="21"/>
        <v>22.333333333333336</v>
      </c>
      <c r="J79" s="3" t="s">
        <v>449</v>
      </c>
    </row>
    <row r="80" spans="1:13" x14ac:dyDescent="0.25">
      <c r="A80" t="s">
        <v>476</v>
      </c>
      <c r="B80">
        <v>0.15</v>
      </c>
      <c r="C80" s="5">
        <f t="shared" si="20"/>
        <v>0.01</v>
      </c>
      <c r="D80">
        <v>36.9</v>
      </c>
      <c r="E80" s="4">
        <v>1</v>
      </c>
      <c r="F80">
        <v>3690</v>
      </c>
      <c r="G80" s="8">
        <f>L$42/L$43*E80/(F80*K$1)</f>
        <v>0.27634585717559035</v>
      </c>
      <c r="H80" s="8" t="str">
        <f>L$41</f>
        <v>Xenon</v>
      </c>
      <c r="I80" s="3">
        <f t="shared" si="21"/>
        <v>6.666666666666667</v>
      </c>
      <c r="J80" s="3" t="s">
        <v>449</v>
      </c>
    </row>
    <row r="81" spans="1:10" x14ac:dyDescent="0.25">
      <c r="A81" t="s">
        <v>477</v>
      </c>
      <c r="B81">
        <v>0.2</v>
      </c>
      <c r="C81" s="5">
        <f t="shared" si="20"/>
        <v>2.0999999999999998E-2</v>
      </c>
      <c r="D81">
        <v>63.8</v>
      </c>
      <c r="E81" s="4">
        <v>2.1</v>
      </c>
      <c r="F81">
        <v>6380</v>
      </c>
      <c r="G81" s="8">
        <f>L$42/L$43*E81/(F81*K$1)</f>
        <v>0.33564326759461588</v>
      </c>
      <c r="H81" s="8" t="str">
        <f>L$41</f>
        <v>Xenon</v>
      </c>
      <c r="I81" s="3">
        <f t="shared" si="21"/>
        <v>10.5</v>
      </c>
      <c r="J81" s="3" t="s">
        <v>449</v>
      </c>
    </row>
    <row r="82" spans="1:10" x14ac:dyDescent="0.25">
      <c r="A82" t="s">
        <v>478</v>
      </c>
      <c r="B82">
        <v>14.9</v>
      </c>
      <c r="C82" s="5">
        <f t="shared" si="20"/>
        <v>706.89655172413791</v>
      </c>
      <c r="D82">
        <v>500</v>
      </c>
      <c r="E82" s="4">
        <v>820</v>
      </c>
      <c r="F82">
        <v>580</v>
      </c>
      <c r="G82" s="8">
        <f>L$51/L$52*E82/(F82*K$1)</f>
        <v>28.833354987651763</v>
      </c>
      <c r="H82" s="8" t="str">
        <f>L$50</f>
        <v>LF</v>
      </c>
      <c r="I82" s="3">
        <f t="shared" si="21"/>
        <v>55.033557046979865</v>
      </c>
      <c r="J82" s="3" t="s">
        <v>449</v>
      </c>
    </row>
    <row r="83" spans="1:10" x14ac:dyDescent="0.25">
      <c r="A83" t="s">
        <v>479</v>
      </c>
      <c r="B83">
        <v>0.25</v>
      </c>
      <c r="C83" s="5">
        <f t="shared" si="20"/>
        <v>0.14799999999999999</v>
      </c>
      <c r="D83">
        <v>35</v>
      </c>
      <c r="E83" s="4">
        <v>14.8</v>
      </c>
      <c r="F83">
        <v>3500</v>
      </c>
      <c r="G83" s="8">
        <f>L$45/L$46*E83/(F83*K$1)</f>
        <v>241.70083203192408</v>
      </c>
      <c r="H83" s="8" t="str">
        <f>L$44</f>
        <v>Argon</v>
      </c>
      <c r="I83" s="3">
        <f t="shared" si="21"/>
        <v>59.2</v>
      </c>
      <c r="J83" s="3" t="s">
        <v>449</v>
      </c>
    </row>
    <row r="84" spans="1:10" x14ac:dyDescent="0.25">
      <c r="A84" t="s">
        <v>480</v>
      </c>
      <c r="B84">
        <v>0.75</v>
      </c>
      <c r="C84" s="5">
        <f t="shared" si="20"/>
        <v>0.26700000000000002</v>
      </c>
      <c r="D84">
        <v>45</v>
      </c>
      <c r="E84" s="4">
        <v>26.7</v>
      </c>
      <c r="F84">
        <v>4500</v>
      </c>
      <c r="G84" s="8">
        <f>L$45/L$46*E84/(F84*K$1)</f>
        <v>339.14328458533492</v>
      </c>
      <c r="H84" s="8" t="str">
        <f>L$44</f>
        <v>Argon</v>
      </c>
      <c r="I84" s="3">
        <f t="shared" si="21"/>
        <v>35.6</v>
      </c>
      <c r="J84" s="3" t="s">
        <v>449</v>
      </c>
    </row>
    <row r="85" spans="1:10" x14ac:dyDescent="0.25">
      <c r="A85" t="s">
        <v>483</v>
      </c>
      <c r="B85">
        <v>2</v>
      </c>
      <c r="C85" s="5">
        <f t="shared" si="20"/>
        <v>0.41099999999999998</v>
      </c>
      <c r="D85">
        <v>55</v>
      </c>
      <c r="E85" s="4">
        <v>41.1</v>
      </c>
      <c r="F85">
        <v>5500</v>
      </c>
      <c r="G85" s="8">
        <f>L$45/L$46*E85/(F85*K$1)</f>
        <v>427.133472823001</v>
      </c>
      <c r="H85" s="8" t="str">
        <f>L$44</f>
        <v>Argon</v>
      </c>
      <c r="I85" s="3">
        <f t="shared" si="21"/>
        <v>20.55</v>
      </c>
      <c r="J85" s="3" t="s">
        <v>449</v>
      </c>
    </row>
    <row r="86" spans="1:10" x14ac:dyDescent="0.25">
      <c r="A86" t="s">
        <v>484</v>
      </c>
      <c r="B86">
        <v>0.33</v>
      </c>
      <c r="C86" s="5">
        <f t="shared" si="20"/>
        <v>0.47299999999999998</v>
      </c>
      <c r="D86">
        <v>26</v>
      </c>
      <c r="E86" s="4">
        <v>47.3</v>
      </c>
      <c r="F86">
        <v>2600</v>
      </c>
      <c r="G86" s="8">
        <f>L$54/L$55*E86/(F86*K$1)</f>
        <v>3.4739683717845011</v>
      </c>
      <c r="H86" s="8" t="str">
        <f>L$53</f>
        <v>Lithium</v>
      </c>
      <c r="I86" s="3">
        <f t="shared" si="21"/>
        <v>143.33333333333331</v>
      </c>
      <c r="J86" s="3" t="s">
        <v>449</v>
      </c>
    </row>
    <row r="87" spans="1:10" x14ac:dyDescent="0.25">
      <c r="A87" t="s">
        <v>486</v>
      </c>
      <c r="B87">
        <v>0.9</v>
      </c>
      <c r="C87" s="5">
        <f t="shared" si="20"/>
        <v>0.96399999999999997</v>
      </c>
      <c r="D87">
        <v>30</v>
      </c>
      <c r="E87" s="4">
        <v>96.4</v>
      </c>
      <c r="F87">
        <v>3000</v>
      </c>
      <c r="G87" s="8">
        <f>L$54/L$55*E87/(F87*K$1)</f>
        <v>6.136120033150581</v>
      </c>
      <c r="H87" s="8" t="str">
        <f>L$53</f>
        <v>Lithium</v>
      </c>
      <c r="I87" s="3">
        <f t="shared" si="21"/>
        <v>107.11111111111111</v>
      </c>
      <c r="J87" s="3" t="s">
        <v>449</v>
      </c>
    </row>
    <row r="88" spans="1:10" x14ac:dyDescent="0.25">
      <c r="A88" t="s">
        <v>487</v>
      </c>
      <c r="B88">
        <v>2.5</v>
      </c>
      <c r="C88" s="5">
        <f t="shared" si="20"/>
        <v>2.4219999999999997</v>
      </c>
      <c r="D88">
        <v>34</v>
      </c>
      <c r="E88" s="4">
        <v>242.2</v>
      </c>
      <c r="F88">
        <v>3400</v>
      </c>
      <c r="G88" s="8">
        <f>L$54/L$55*E88/(F88*K$1)</f>
        <v>13.602955870414972</v>
      </c>
      <c r="H88" s="8" t="str">
        <f>L$53</f>
        <v>Lithium</v>
      </c>
      <c r="I88" s="3">
        <f t="shared" si="21"/>
        <v>96.88</v>
      </c>
      <c r="J88" s="3" t="s">
        <v>449</v>
      </c>
    </row>
    <row r="89" spans="1:10" x14ac:dyDescent="0.25">
      <c r="A89" t="s">
        <v>489</v>
      </c>
      <c r="B89">
        <v>0.9</v>
      </c>
      <c r="C89" s="5">
        <f t="shared" ref="C89:C96" si="22">E89*D89/F89</f>
        <v>90.461538461538467</v>
      </c>
      <c r="D89">
        <v>210</v>
      </c>
      <c r="E89" s="4">
        <v>140</v>
      </c>
      <c r="F89">
        <v>325</v>
      </c>
      <c r="G89" s="8">
        <f>L$57/L$58*E89/(F89*K$1)</f>
        <v>10.981559216685381</v>
      </c>
      <c r="H89" s="8" t="str">
        <f>L$56</f>
        <v>MonoP</v>
      </c>
      <c r="I89" s="3">
        <f t="shared" ref="I89:I96" si="23">E89/B89</f>
        <v>155.55555555555554</v>
      </c>
      <c r="J89" s="3" t="s">
        <v>449</v>
      </c>
    </row>
    <row r="90" spans="1:10" x14ac:dyDescent="0.25">
      <c r="A90" t="s">
        <v>490</v>
      </c>
      <c r="B90">
        <v>3.6</v>
      </c>
      <c r="C90" s="5">
        <f t="shared" si="22"/>
        <v>353.946587537092</v>
      </c>
      <c r="D90">
        <v>213</v>
      </c>
      <c r="E90" s="4">
        <v>560</v>
      </c>
      <c r="F90">
        <v>337</v>
      </c>
      <c r="G90" s="8">
        <f>L$57/L$58*E90/(F90*K$1)</f>
        <v>42.362097868519271</v>
      </c>
      <c r="H90" s="8" t="str">
        <f>L$56</f>
        <v>MonoP</v>
      </c>
      <c r="I90" s="3">
        <f t="shared" si="23"/>
        <v>155.55555555555554</v>
      </c>
      <c r="J90" s="3" t="s">
        <v>449</v>
      </c>
    </row>
    <row r="91" spans="1:10" x14ac:dyDescent="0.25">
      <c r="A91" t="s">
        <v>491</v>
      </c>
      <c r="B91">
        <v>0.11</v>
      </c>
      <c r="C91" s="5">
        <f t="shared" si="22"/>
        <v>8.4444444444444446</v>
      </c>
      <c r="D91">
        <v>190</v>
      </c>
      <c r="E91" s="4">
        <v>14</v>
      </c>
      <c r="F91">
        <v>315</v>
      </c>
      <c r="G91" s="8">
        <f>L$57/L$58*E91/(F91*K$1)</f>
        <v>1.1330180144199204</v>
      </c>
      <c r="H91" s="8" t="str">
        <f t="shared" ref="H91:H92" si="24">L$56</f>
        <v>MonoP</v>
      </c>
      <c r="I91" s="3">
        <f t="shared" si="23"/>
        <v>127.27272727272727</v>
      </c>
      <c r="J91" s="3" t="s">
        <v>449</v>
      </c>
    </row>
    <row r="92" spans="1:10" x14ac:dyDescent="0.25">
      <c r="A92" t="s">
        <v>492</v>
      </c>
      <c r="B92">
        <v>1</v>
      </c>
      <c r="C92" s="5">
        <f t="shared" si="22"/>
        <v>65.396341463414629</v>
      </c>
      <c r="D92">
        <v>195</v>
      </c>
      <c r="E92" s="4">
        <v>110</v>
      </c>
      <c r="F92">
        <v>328</v>
      </c>
      <c r="G92" s="8">
        <f>L$57/L$58*E92/(F92*K$1)</f>
        <v>8.549449956369827</v>
      </c>
      <c r="H92" s="8" t="str">
        <f t="shared" si="24"/>
        <v>MonoP</v>
      </c>
      <c r="I92" s="3">
        <f t="shared" si="23"/>
        <v>110</v>
      </c>
      <c r="J92" s="3" t="s">
        <v>449</v>
      </c>
    </row>
    <row r="93" spans="1:10" x14ac:dyDescent="0.25">
      <c r="A93" t="s">
        <v>494</v>
      </c>
      <c r="B93">
        <v>2.25</v>
      </c>
      <c r="C93" s="5">
        <f>E93*D93/F93</f>
        <v>26.666666666666668</v>
      </c>
      <c r="D93">
        <v>400</v>
      </c>
      <c r="E93" s="4">
        <v>60</v>
      </c>
      <c r="F93">
        <v>900</v>
      </c>
      <c r="G93" s="8">
        <f>L$60/L$61*E93/(F93*K$1)</f>
        <v>95.950713994629822</v>
      </c>
      <c r="H93" s="8" t="str">
        <f>L$59</f>
        <v>LH2</v>
      </c>
      <c r="I93" s="3">
        <f>E93/B93</f>
        <v>26.666666666666668</v>
      </c>
      <c r="J93" s="3" t="s">
        <v>449</v>
      </c>
    </row>
    <row r="94" spans="1:10" x14ac:dyDescent="0.25">
      <c r="A94" t="s">
        <v>493</v>
      </c>
      <c r="B94">
        <v>2.25</v>
      </c>
      <c r="C94" s="5">
        <f t="shared" si="22"/>
        <v>18.5</v>
      </c>
      <c r="D94">
        <v>185</v>
      </c>
      <c r="E94" s="4">
        <v>60</v>
      </c>
      <c r="F94">
        <v>600</v>
      </c>
      <c r="G94" s="8">
        <f>L$51/L$52*E94/(F94*K$1)</f>
        <v>2.0394324259558565</v>
      </c>
      <c r="H94" s="8" t="str">
        <f>L$50</f>
        <v>LF</v>
      </c>
      <c r="I94" s="3">
        <f t="shared" si="23"/>
        <v>26.666666666666668</v>
      </c>
      <c r="J94" s="3" t="s">
        <v>449</v>
      </c>
    </row>
    <row r="95" spans="1:10" x14ac:dyDescent="0.25">
      <c r="A95" t="s">
        <v>495</v>
      </c>
      <c r="B95">
        <v>12</v>
      </c>
      <c r="C95" s="5">
        <f t="shared" si="22"/>
        <v>73.170731707317074</v>
      </c>
      <c r="D95">
        <v>200</v>
      </c>
      <c r="E95" s="4">
        <v>300</v>
      </c>
      <c r="F95">
        <v>820</v>
      </c>
      <c r="G95" s="8">
        <f>L$51/L$52*E95/(F95*K$1)</f>
        <v>7.4613381437409387</v>
      </c>
      <c r="H95" s="8" t="str">
        <f>L$50</f>
        <v>LF</v>
      </c>
      <c r="I95" s="3">
        <f t="shared" si="23"/>
        <v>25</v>
      </c>
      <c r="J95" s="3" t="s">
        <v>449</v>
      </c>
    </row>
    <row r="96" spans="1:10" x14ac:dyDescent="0.25">
      <c r="A96" t="s">
        <v>497</v>
      </c>
      <c r="B96">
        <v>3</v>
      </c>
      <c r="C96" s="5">
        <f t="shared" si="22"/>
        <v>932.30769230769226</v>
      </c>
      <c r="D96">
        <v>303</v>
      </c>
      <c r="E96" s="4">
        <v>1000</v>
      </c>
      <c r="F96">
        <v>325</v>
      </c>
      <c r="G96" s="8">
        <f>L$65/(L$65*L$66+M$65*M$66)*E96/(F96*K$1)</f>
        <v>28.238295128619551</v>
      </c>
      <c r="H96" s="8">
        <f>M$65/(L$65*L$66+M$65*M$66)*E96/(F96*K$1)</f>
        <v>34.513471823868336</v>
      </c>
      <c r="I96" s="3">
        <f t="shared" si="23"/>
        <v>333.33333333333331</v>
      </c>
      <c r="J96" s="3" t="s">
        <v>449</v>
      </c>
    </row>
    <row r="97" spans="1:10" x14ac:dyDescent="0.25">
      <c r="A97" t="s">
        <v>498</v>
      </c>
      <c r="B97">
        <v>3.5</v>
      </c>
      <c r="C97" s="5">
        <f t="shared" ref="C97:C112" si="25">E97*D97/F97</f>
        <v>450.7042253521127</v>
      </c>
      <c r="D97">
        <v>160</v>
      </c>
      <c r="E97" s="4">
        <v>1000</v>
      </c>
      <c r="F97">
        <v>355</v>
      </c>
      <c r="G97" s="8">
        <f>L$65/(L$65*L$66+M$65*M$66)*E97/(F97*K$1)</f>
        <v>25.851960329017896</v>
      </c>
      <c r="H97" s="8">
        <f>M$65/(L$65*L$66+M$65*M$66)*E97/(F97*K$1)</f>
        <v>31.596840402132987</v>
      </c>
      <c r="I97" s="3">
        <f t="shared" ref="I97:I112" si="26">E97/B97</f>
        <v>285.71428571428572</v>
      </c>
      <c r="J97" s="3" t="s">
        <v>449</v>
      </c>
    </row>
    <row r="98" spans="1:10" x14ac:dyDescent="0.25">
      <c r="A98" t="s">
        <v>499</v>
      </c>
      <c r="B98">
        <v>9</v>
      </c>
      <c r="C98" s="5">
        <f t="shared" si="25"/>
        <v>2449.3902439024391</v>
      </c>
      <c r="D98">
        <v>309</v>
      </c>
      <c r="E98" s="4">
        <v>2600</v>
      </c>
      <c r="F98">
        <v>328</v>
      </c>
      <c r="G98" s="8">
        <f>L$65/(L$65*L$66+M$65*M$66)*E98/(F98*K$1)</f>
        <v>72.748046901474154</v>
      </c>
      <c r="H98" s="8">
        <f>M$65/(L$65*L$66+M$65*M$66)*E98/(F98*K$1)</f>
        <v>88.914279546246178</v>
      </c>
      <c r="I98" s="3">
        <f t="shared" si="26"/>
        <v>288.88888888888891</v>
      </c>
      <c r="J98" s="3" t="s">
        <v>449</v>
      </c>
    </row>
    <row r="99" spans="1:10" x14ac:dyDescent="0.25">
      <c r="A99" t="s">
        <v>501</v>
      </c>
      <c r="B99">
        <v>2</v>
      </c>
      <c r="C99" s="5">
        <f t="shared" si="25"/>
        <v>177.14285714285714</v>
      </c>
      <c r="D99">
        <v>155</v>
      </c>
      <c r="E99" s="4">
        <v>400</v>
      </c>
      <c r="F99">
        <v>350</v>
      </c>
      <c r="G99" s="8">
        <f>L$65/(L$65*L$66+M$65*M$66)*E99/(F99*K$1)</f>
        <v>10.488509619201546</v>
      </c>
      <c r="H99" s="8">
        <f>M$65/(L$65*L$66+M$65*M$66)*E99/(F99*K$1)</f>
        <v>12.819289534579667</v>
      </c>
      <c r="I99" s="3">
        <f t="shared" si="26"/>
        <v>200</v>
      </c>
      <c r="J99" s="3" t="s">
        <v>449</v>
      </c>
    </row>
    <row r="100" spans="1:10" x14ac:dyDescent="0.25">
      <c r="A100" t="s">
        <v>502</v>
      </c>
      <c r="B100">
        <v>0.35</v>
      </c>
      <c r="C100" s="5">
        <f t="shared" si="25"/>
        <v>2.3101604278074865</v>
      </c>
      <c r="D100">
        <v>180</v>
      </c>
      <c r="E100" s="4">
        <v>12</v>
      </c>
      <c r="F100">
        <v>935</v>
      </c>
      <c r="G100" s="8">
        <f>L$60/L$61*E100/(F100*K$1)</f>
        <v>18.471795207522316</v>
      </c>
      <c r="H100" s="8" t="str">
        <f>L$59</f>
        <v>LH2</v>
      </c>
      <c r="I100" s="3">
        <f t="shared" si="26"/>
        <v>34.285714285714285</v>
      </c>
      <c r="J100" s="3" t="s">
        <v>449</v>
      </c>
    </row>
    <row r="101" spans="1:10" x14ac:dyDescent="0.25">
      <c r="A101" t="s">
        <v>503</v>
      </c>
      <c r="B101">
        <v>2.2999999999999998</v>
      </c>
      <c r="C101" s="5">
        <f t="shared" si="25"/>
        <v>13.4</v>
      </c>
      <c r="D101">
        <v>190</v>
      </c>
      <c r="E101" s="4">
        <v>67</v>
      </c>
      <c r="F101">
        <v>950</v>
      </c>
      <c r="G101" s="8">
        <f>L$60/L$61*E101/(F101*K$1)</f>
        <v>101.50575533116101</v>
      </c>
      <c r="H101" s="8" t="str">
        <f>L$59</f>
        <v>LH2</v>
      </c>
      <c r="I101" s="3">
        <f t="shared" si="26"/>
        <v>29.130434782608699</v>
      </c>
      <c r="J101" s="3" t="s">
        <v>449</v>
      </c>
    </row>
    <row r="102" spans="1:10" x14ac:dyDescent="0.25">
      <c r="A102" t="s">
        <v>504</v>
      </c>
      <c r="B102">
        <v>2.2999999999999998</v>
      </c>
      <c r="C102" s="5">
        <f t="shared" si="25"/>
        <v>43.773584905660378</v>
      </c>
      <c r="D102">
        <v>145</v>
      </c>
      <c r="E102" s="4">
        <v>160</v>
      </c>
      <c r="F102">
        <v>530</v>
      </c>
      <c r="G102" s="8">
        <f>L$68/(L$68*L$69+M$68*M$69)*E102/(F102*K$1)</f>
        <v>76.163174322226837</v>
      </c>
      <c r="H102" s="8">
        <f>M$68/(L$68*L$69+M$68*M$69)*E102/(F102*K$1)</f>
        <v>5.0775449548151226</v>
      </c>
      <c r="I102" s="3">
        <f t="shared" si="26"/>
        <v>69.565217391304358</v>
      </c>
      <c r="J102" s="3" t="s">
        <v>449</v>
      </c>
    </row>
    <row r="103" spans="1:10" x14ac:dyDescent="0.25">
      <c r="A103" t="s">
        <v>505</v>
      </c>
      <c r="B103">
        <v>1.8</v>
      </c>
      <c r="C103" s="5">
        <f t="shared" ref="C103:C104" si="27">E103*D103/F103</f>
        <v>36.266666666666666</v>
      </c>
      <c r="D103">
        <v>340</v>
      </c>
      <c r="E103" s="4">
        <v>80</v>
      </c>
      <c r="F103">
        <v>750</v>
      </c>
      <c r="G103" s="8">
        <f>L$60/L$61*E103/(F103*K$1)</f>
        <v>153.52114239140772</v>
      </c>
      <c r="H103" s="8" t="str">
        <f>L$59</f>
        <v>LH2</v>
      </c>
      <c r="I103" s="3">
        <f t="shared" ref="I103:I104" si="28">E103/B103</f>
        <v>44.444444444444443</v>
      </c>
      <c r="J103" s="3" t="s">
        <v>449</v>
      </c>
    </row>
    <row r="104" spans="1:10" x14ac:dyDescent="0.25">
      <c r="A104" t="s">
        <v>506</v>
      </c>
      <c r="B104">
        <v>1.8</v>
      </c>
      <c r="C104" s="5">
        <f t="shared" si="27"/>
        <v>104.4</v>
      </c>
      <c r="D104">
        <v>290</v>
      </c>
      <c r="E104" s="4">
        <v>180</v>
      </c>
      <c r="F104">
        <v>500</v>
      </c>
      <c r="G104" s="8">
        <f>L$68/(L$68*L$69+M$68*M$69)*E104/(F104*K$1)</f>
        <v>90.824585379255481</v>
      </c>
      <c r="H104" s="8">
        <f>M$68/(L$68*L$69+M$68*M$69)*E104/(F104*K$1)</f>
        <v>6.0549723586170332</v>
      </c>
      <c r="I104" s="3">
        <f t="shared" si="28"/>
        <v>100</v>
      </c>
      <c r="J104" s="3" t="s">
        <v>449</v>
      </c>
    </row>
    <row r="105" spans="1:10" x14ac:dyDescent="0.25">
      <c r="A105" t="s">
        <v>507</v>
      </c>
      <c r="B105">
        <v>10.5</v>
      </c>
      <c r="C105" s="5">
        <f t="shared" ref="C105:C106" si="29">E105*D105/F105</f>
        <v>107.24324324324324</v>
      </c>
      <c r="D105">
        <v>320</v>
      </c>
      <c r="E105" s="4">
        <v>310</v>
      </c>
      <c r="F105">
        <v>925</v>
      </c>
      <c r="G105" s="8">
        <f>L$60/L$61*E105/(F105*K$1)</f>
        <v>482.34683251354454</v>
      </c>
      <c r="H105" s="8" t="str">
        <f>L$59</f>
        <v>LH2</v>
      </c>
      <c r="I105" s="3">
        <f t="shared" ref="I105:I106" si="30">E105/B105</f>
        <v>29.523809523809526</v>
      </c>
      <c r="J105" s="3" t="s">
        <v>449</v>
      </c>
    </row>
    <row r="106" spans="1:10" x14ac:dyDescent="0.25">
      <c r="A106" t="s">
        <v>508</v>
      </c>
      <c r="B106">
        <v>10.5</v>
      </c>
      <c r="C106" s="5">
        <f t="shared" si="29"/>
        <v>430.55555555555554</v>
      </c>
      <c r="D106">
        <v>300</v>
      </c>
      <c r="E106" s="4">
        <v>775</v>
      </c>
      <c r="F106">
        <v>540</v>
      </c>
      <c r="G106" s="8">
        <f>L$68/(L$68*L$69+M$68*M$69)*E106/(F106*K$1)</f>
        <v>362.08360940804016</v>
      </c>
      <c r="H106" s="8">
        <f>M$68/(L$68*L$69+M$68*M$69)*E106/(F106*K$1)</f>
        <v>24.138907293869345</v>
      </c>
      <c r="I106" s="3">
        <f t="shared" si="30"/>
        <v>73.80952380952381</v>
      </c>
      <c r="J106" s="3" t="s">
        <v>449</v>
      </c>
    </row>
    <row r="107" spans="1:10" x14ac:dyDescent="0.25">
      <c r="A107" t="s">
        <v>509</v>
      </c>
      <c r="B107">
        <v>25</v>
      </c>
      <c r="C107" s="5">
        <f t="shared" ref="C107:C108" si="31">E107*D107/F107</f>
        <v>1325.7142857142858</v>
      </c>
      <c r="D107">
        <v>800</v>
      </c>
      <c r="E107" s="4">
        <v>1450</v>
      </c>
      <c r="F107">
        <v>875</v>
      </c>
      <c r="G107" s="8">
        <f>L$60/L$61*E107/(F107*K$1)</f>
        <v>2385.0606050093697</v>
      </c>
      <c r="H107" s="8" t="str">
        <f>L$59</f>
        <v>LH2</v>
      </c>
      <c r="I107" s="3">
        <f t="shared" ref="I107:I108" si="32">E107/B107</f>
        <v>58</v>
      </c>
      <c r="J107" s="3" t="s">
        <v>449</v>
      </c>
    </row>
    <row r="108" spans="1:10" x14ac:dyDescent="0.25">
      <c r="A108" t="s">
        <v>510</v>
      </c>
      <c r="B108">
        <v>25</v>
      </c>
      <c r="C108" s="5">
        <f t="shared" si="31"/>
        <v>4045.5</v>
      </c>
      <c r="D108">
        <v>465</v>
      </c>
      <c r="E108" s="4">
        <v>4350</v>
      </c>
      <c r="F108">
        <v>500</v>
      </c>
      <c r="G108" s="8">
        <f>L$68/(L$68*L$69+M$68*M$69)*E108/(F108*K$1)</f>
        <v>2194.9274799986742</v>
      </c>
      <c r="H108" s="8">
        <f>M$68/(L$68*L$69+M$68*M$69)*E108/(F108*K$1)</f>
        <v>146.3284986665783</v>
      </c>
      <c r="I108" s="3">
        <f t="shared" si="32"/>
        <v>174</v>
      </c>
      <c r="J108" s="3" t="s">
        <v>449</v>
      </c>
    </row>
    <row r="109" spans="1:10" x14ac:dyDescent="0.25">
      <c r="A109" t="s">
        <v>511</v>
      </c>
      <c r="B109">
        <v>11</v>
      </c>
      <c r="C109" s="5">
        <f t="shared" ref="C109:C111" si="33">E109*D109/F109</f>
        <v>282.5846153846154</v>
      </c>
      <c r="D109">
        <v>560</v>
      </c>
      <c r="E109" s="4">
        <v>820</v>
      </c>
      <c r="F109">
        <v>1625</v>
      </c>
      <c r="G109" s="8">
        <f>L$60/L$61*E109/(F109*K$1)</f>
        <v>726.27309669781334</v>
      </c>
      <c r="H109" s="8" t="str">
        <f>L$59</f>
        <v>LH2</v>
      </c>
      <c r="I109" s="3">
        <f t="shared" ref="I109:I111" si="34">E109/B109</f>
        <v>74.545454545454547</v>
      </c>
      <c r="J109" s="3" t="s">
        <v>449</v>
      </c>
    </row>
    <row r="110" spans="1:10" x14ac:dyDescent="0.25">
      <c r="A110" t="s">
        <v>512</v>
      </c>
      <c r="B110">
        <v>12</v>
      </c>
      <c r="C110" s="5">
        <f t="shared" si="33"/>
        <v>1825.2</v>
      </c>
      <c r="D110">
        <v>1170</v>
      </c>
      <c r="E110" s="4">
        <v>1950</v>
      </c>
      <c r="F110">
        <v>1250</v>
      </c>
      <c r="G110" s="8">
        <f>L$60/L$61*E110/(F110*K$1)</f>
        <v>2245.2467074743377</v>
      </c>
      <c r="H110" s="8" t="str">
        <f>L$59</f>
        <v>LH2</v>
      </c>
      <c r="I110" s="3">
        <f t="shared" si="34"/>
        <v>162.5</v>
      </c>
      <c r="J110" s="3" t="s">
        <v>449</v>
      </c>
    </row>
    <row r="111" spans="1:10" x14ac:dyDescent="0.25">
      <c r="A111" t="s">
        <v>513</v>
      </c>
      <c r="B111">
        <v>16</v>
      </c>
      <c r="C111" s="5">
        <f t="shared" si="33"/>
        <v>621.40350877192986</v>
      </c>
      <c r="D111">
        <v>1150</v>
      </c>
      <c r="E111" s="4">
        <v>1540</v>
      </c>
      <c r="F111">
        <v>2850</v>
      </c>
      <c r="G111" s="8">
        <f>L$71/(L$71*L$72+M$71*M$72)*E111/(F111*K$1)</f>
        <v>765.84784656834836</v>
      </c>
      <c r="H111" s="8">
        <f>M$71/(L$71*L$72+M$71*M$72)*E111/(F111*K$1)</f>
        <v>7.6584784656834839E-2</v>
      </c>
      <c r="I111" s="3">
        <f t="shared" si="34"/>
        <v>96.25</v>
      </c>
      <c r="J111" s="3" t="s">
        <v>449</v>
      </c>
    </row>
    <row r="112" spans="1:10" x14ac:dyDescent="0.25">
      <c r="A112" t="s">
        <v>517</v>
      </c>
      <c r="B112">
        <v>2.8</v>
      </c>
      <c r="C112" s="5">
        <f t="shared" si="25"/>
        <v>0.73499999999999999</v>
      </c>
      <c r="D112">
        <v>60</v>
      </c>
      <c r="E112" s="4">
        <v>73.5</v>
      </c>
      <c r="F112">
        <v>6000</v>
      </c>
      <c r="G112" s="8">
        <f>L$45/L$46*E112/(F112*K$1)</f>
        <v>700.19751171410439</v>
      </c>
      <c r="H112" s="8" t="str">
        <f>L$44</f>
        <v>Argon</v>
      </c>
      <c r="I112" s="3">
        <f t="shared" si="26"/>
        <v>26.25</v>
      </c>
      <c r="J112" s="3" t="s">
        <v>449</v>
      </c>
    </row>
    <row r="113" spans="1:10" x14ac:dyDescent="0.25">
      <c r="A113" t="s">
        <v>519</v>
      </c>
      <c r="B113">
        <v>2.8</v>
      </c>
      <c r="C113" s="5">
        <f t="shared" ref="C113:C114" si="35">E113*D113/F113</f>
        <v>1.3460000000000001</v>
      </c>
      <c r="D113">
        <v>35</v>
      </c>
      <c r="E113" s="4">
        <v>134.6</v>
      </c>
      <c r="F113">
        <v>3500</v>
      </c>
      <c r="G113" s="8">
        <f>L$45/L$46*E113/(F113*K$1)</f>
        <v>2198.1710805065522</v>
      </c>
      <c r="H113" s="8" t="str">
        <f>L$44</f>
        <v>Argon</v>
      </c>
      <c r="I113" s="3">
        <f t="shared" ref="I113:I114" si="36">E113/B113</f>
        <v>48.071428571428569</v>
      </c>
      <c r="J113" s="3" t="s">
        <v>449</v>
      </c>
    </row>
    <row r="114" spans="1:10" x14ac:dyDescent="0.25">
      <c r="A114" t="s">
        <v>520</v>
      </c>
      <c r="B114">
        <v>2.8</v>
      </c>
      <c r="C114" s="5">
        <f t="shared" si="35"/>
        <v>0.42499999999999999</v>
      </c>
      <c r="D114">
        <v>85</v>
      </c>
      <c r="E114" s="4">
        <v>42.5</v>
      </c>
      <c r="F114">
        <v>8500</v>
      </c>
      <c r="G114" s="8">
        <f>L$45/L$46*E114/(F114*K$1)</f>
        <v>285.79490274045077</v>
      </c>
      <c r="H114" s="8" t="str">
        <f>L$44</f>
        <v>Argon</v>
      </c>
      <c r="I114" s="3">
        <f t="shared" si="36"/>
        <v>15.178571428571429</v>
      </c>
      <c r="J114" s="3" t="s">
        <v>449</v>
      </c>
    </row>
    <row r="115" spans="1:10" x14ac:dyDescent="0.25">
      <c r="A115" t="s">
        <v>518</v>
      </c>
      <c r="B115">
        <v>2.8</v>
      </c>
      <c r="C115" s="5">
        <f>E115*D115/F115</f>
        <v>1.2444999999999999</v>
      </c>
      <c r="D115">
        <v>40</v>
      </c>
      <c r="E115" s="4">
        <v>124.45</v>
      </c>
      <c r="F115">
        <v>4000</v>
      </c>
      <c r="G115" s="8">
        <f>L$42/L$43*E115/(F115*K$1)</f>
        <v>31.725920676275795</v>
      </c>
      <c r="H115" s="8" t="str">
        <f>L$41</f>
        <v>Xenon</v>
      </c>
      <c r="I115" s="3">
        <f>E115/B115</f>
        <v>44.446428571428577</v>
      </c>
      <c r="J115" s="3" t="s">
        <v>449</v>
      </c>
    </row>
    <row r="116" spans="1:10" x14ac:dyDescent="0.25">
      <c r="A116" t="s">
        <v>521</v>
      </c>
      <c r="B116">
        <v>2.8</v>
      </c>
      <c r="C116" s="5">
        <f>E116*D116/F116</f>
        <v>2.79</v>
      </c>
      <c r="D116">
        <v>20</v>
      </c>
      <c r="E116" s="4">
        <v>279</v>
      </c>
      <c r="F116">
        <v>2000</v>
      </c>
      <c r="G116" s="8">
        <f>L$42/L$43*E116/(F116*K$1)</f>
        <v>142.25041171042099</v>
      </c>
      <c r="H116" s="8" t="str">
        <f>L$41</f>
        <v>Xenon</v>
      </c>
      <c r="I116" s="3">
        <f>E116/B116</f>
        <v>99.642857142857153</v>
      </c>
      <c r="J116" s="3" t="s">
        <v>449</v>
      </c>
    </row>
    <row r="117" spans="1:10" x14ac:dyDescent="0.25">
      <c r="A117" t="s">
        <v>522</v>
      </c>
      <c r="B117">
        <v>2.8</v>
      </c>
      <c r="C117" s="5">
        <f>E117*D117/F117</f>
        <v>0.66800000000000004</v>
      </c>
      <c r="D117">
        <v>60</v>
      </c>
      <c r="E117" s="4">
        <v>66.8</v>
      </c>
      <c r="F117">
        <v>6000</v>
      </c>
      <c r="G117" s="8">
        <f>L$42/L$43*E117/(F117*K$1)</f>
        <v>11.352840504487602</v>
      </c>
      <c r="H117" s="8" t="str">
        <f>L$41</f>
        <v>Xenon</v>
      </c>
      <c r="I117" s="3">
        <f>E117/B117</f>
        <v>23.857142857142858</v>
      </c>
      <c r="J117" s="3" t="s">
        <v>449</v>
      </c>
    </row>
    <row r="118" spans="1:10" x14ac:dyDescent="0.25">
      <c r="A118" t="s">
        <v>523</v>
      </c>
      <c r="B118">
        <v>1</v>
      </c>
      <c r="C118" s="5">
        <f t="shared" ref="C118:C120" si="37">E118*D118/F118</f>
        <v>0.14699999999999999</v>
      </c>
      <c r="D118">
        <v>60</v>
      </c>
      <c r="E118" s="4">
        <v>14.7</v>
      </c>
      <c r="F118">
        <v>6000</v>
      </c>
      <c r="G118" s="8">
        <f>L$45/L$46*E118/(F118*K$1)</f>
        <v>140.03950234282087</v>
      </c>
      <c r="H118" s="8" t="str">
        <f>L$44</f>
        <v>Argon</v>
      </c>
      <c r="I118" s="3">
        <f t="shared" ref="I118:I120" si="38">E118/B118</f>
        <v>14.7</v>
      </c>
      <c r="J118" s="3" t="s">
        <v>449</v>
      </c>
    </row>
    <row r="119" spans="1:10" x14ac:dyDescent="0.25">
      <c r="A119" t="s">
        <v>524</v>
      </c>
      <c r="B119">
        <v>1</v>
      </c>
      <c r="C119" s="5">
        <f t="shared" si="37"/>
        <v>0.22650000000000001</v>
      </c>
      <c r="D119">
        <v>40</v>
      </c>
      <c r="E119" s="4">
        <v>22.65</v>
      </c>
      <c r="F119">
        <v>4000</v>
      </c>
      <c r="G119" s="8">
        <f>L$45/L$46*E119/(F119*K$1)</f>
        <v>323.66272735356051</v>
      </c>
      <c r="H119" s="8" t="str">
        <f>L$44</f>
        <v>Argon</v>
      </c>
      <c r="I119" s="3">
        <f t="shared" si="38"/>
        <v>22.65</v>
      </c>
      <c r="J119" s="3" t="s">
        <v>449</v>
      </c>
    </row>
    <row r="120" spans="1:10" x14ac:dyDescent="0.25">
      <c r="A120" t="s">
        <v>525</v>
      </c>
      <c r="B120">
        <v>1</v>
      </c>
      <c r="C120" s="5">
        <f t="shared" si="37"/>
        <v>9.1799999999999993E-2</v>
      </c>
      <c r="D120">
        <v>80</v>
      </c>
      <c r="E120" s="4">
        <v>9.18</v>
      </c>
      <c r="F120">
        <v>8000</v>
      </c>
      <c r="G120" s="8">
        <f>L$45/L$46*E120/(F120*K$1)</f>
        <v>65.589930178933443</v>
      </c>
      <c r="H120" s="8" t="str">
        <f>L$44</f>
        <v>Argon</v>
      </c>
      <c r="I120" s="3">
        <f t="shared" si="38"/>
        <v>9.18</v>
      </c>
      <c r="J120" s="3" t="s">
        <v>449</v>
      </c>
    </row>
    <row r="121" spans="1:10" x14ac:dyDescent="0.25">
      <c r="A121" t="s">
        <v>526</v>
      </c>
      <c r="B121">
        <v>1</v>
      </c>
      <c r="C121" s="5">
        <f>E121*D121/F121</f>
        <v>0.249</v>
      </c>
      <c r="D121">
        <v>40</v>
      </c>
      <c r="E121" s="4">
        <v>24.9</v>
      </c>
      <c r="F121">
        <v>4000</v>
      </c>
      <c r="G121" s="8">
        <f>L$42/L$43*E121/(F121*K$1)</f>
        <v>6.3477334257876032</v>
      </c>
      <c r="H121" s="8" t="str">
        <f>L$41</f>
        <v>Xenon</v>
      </c>
      <c r="I121" s="3">
        <f>E121/B121</f>
        <v>24.9</v>
      </c>
      <c r="J121" s="3" t="s">
        <v>449</v>
      </c>
    </row>
    <row r="122" spans="1:10" x14ac:dyDescent="0.25">
      <c r="A122" t="s">
        <v>527</v>
      </c>
      <c r="B122">
        <v>1</v>
      </c>
      <c r="C122" s="5">
        <f>E122*D122/F122</f>
        <v>0.41699999999999998</v>
      </c>
      <c r="D122">
        <v>25</v>
      </c>
      <c r="E122" s="4">
        <v>41.7</v>
      </c>
      <c r="F122">
        <v>2500</v>
      </c>
      <c r="G122" s="8">
        <f>L$42/L$43*E122/(F122*K$1)</f>
        <v>17.008866432471844</v>
      </c>
      <c r="H122" s="8" t="str">
        <f>L$41</f>
        <v>Xenon</v>
      </c>
      <c r="I122" s="3">
        <f>E122/B122</f>
        <v>41.7</v>
      </c>
      <c r="J122" s="3" t="s">
        <v>449</v>
      </c>
    </row>
    <row r="123" spans="1:10" x14ac:dyDescent="0.25">
      <c r="A123" t="s">
        <v>528</v>
      </c>
      <c r="B123">
        <v>1</v>
      </c>
      <c r="C123" s="5">
        <f>E123*D123/F123</f>
        <v>0.14949999999999999</v>
      </c>
      <c r="D123">
        <v>55</v>
      </c>
      <c r="E123" s="4">
        <v>14.95</v>
      </c>
      <c r="F123">
        <v>5500</v>
      </c>
      <c r="G123" s="8">
        <f>L$42/L$43*E123/(F123*K$1)</f>
        <v>2.7717740698218232</v>
      </c>
      <c r="H123" s="8" t="str">
        <f>L$41</f>
        <v>Xenon</v>
      </c>
      <c r="I123" s="3">
        <f>E123/B123</f>
        <v>14.95</v>
      </c>
      <c r="J123" s="3" t="s">
        <v>449</v>
      </c>
    </row>
    <row r="124" spans="1:10" x14ac:dyDescent="0.25">
      <c r="A124" t="s">
        <v>529</v>
      </c>
      <c r="B124">
        <v>0.35</v>
      </c>
      <c r="C124" s="5">
        <f t="shared" ref="C124:C126" si="39">E124*D124/F124</f>
        <v>3.6699999999999997E-2</v>
      </c>
      <c r="D124">
        <v>60</v>
      </c>
      <c r="E124" s="4">
        <v>3.67</v>
      </c>
      <c r="F124">
        <v>6000</v>
      </c>
      <c r="G124" s="8">
        <f>L$45/L$46*E124/(F124*K$1)</f>
        <v>34.962243101915149</v>
      </c>
      <c r="H124" s="8" t="str">
        <f>L$44</f>
        <v>Argon</v>
      </c>
      <c r="I124" s="3">
        <f t="shared" ref="I124:I126" si="40">E124/B124</f>
        <v>10.485714285714286</v>
      </c>
      <c r="J124" s="3" t="s">
        <v>449</v>
      </c>
    </row>
    <row r="125" spans="1:10" x14ac:dyDescent="0.25">
      <c r="A125" t="s">
        <v>530</v>
      </c>
      <c r="B125">
        <v>0.35</v>
      </c>
      <c r="C125" s="5">
        <f t="shared" si="39"/>
        <v>4.8499999999999995E-2</v>
      </c>
      <c r="D125">
        <v>45</v>
      </c>
      <c r="E125" s="4">
        <v>4.8499999999999996</v>
      </c>
      <c r="F125">
        <v>4500</v>
      </c>
      <c r="G125" s="8">
        <f>L$45/L$46*E125/(F125*K$1)</f>
        <v>61.604679035163841</v>
      </c>
      <c r="H125" s="8" t="str">
        <f>L$44</f>
        <v>Argon</v>
      </c>
      <c r="I125" s="3">
        <f t="shared" si="40"/>
        <v>13.857142857142858</v>
      </c>
      <c r="J125" s="3" t="s">
        <v>449</v>
      </c>
    </row>
    <row r="126" spans="1:10" x14ac:dyDescent="0.25">
      <c r="A126" t="s">
        <v>531</v>
      </c>
      <c r="B126">
        <v>0.35</v>
      </c>
      <c r="C126" s="5">
        <f t="shared" si="39"/>
        <v>2.5000000000000001E-2</v>
      </c>
      <c r="D126">
        <v>75</v>
      </c>
      <c r="E126" s="4">
        <v>2.5</v>
      </c>
      <c r="F126">
        <v>7500</v>
      </c>
      <c r="G126" s="8">
        <f>L$45/L$46*E126/(F126*K$1)</f>
        <v>19.052993516030053</v>
      </c>
      <c r="H126" s="8" t="str">
        <f>L$44</f>
        <v>Argon</v>
      </c>
      <c r="I126" s="3">
        <f t="shared" si="40"/>
        <v>7.1428571428571432</v>
      </c>
      <c r="J126" s="3" t="s">
        <v>449</v>
      </c>
    </row>
    <row r="127" spans="1:10" x14ac:dyDescent="0.25">
      <c r="A127" t="s">
        <v>532</v>
      </c>
      <c r="B127">
        <v>0.35</v>
      </c>
      <c r="C127" s="5">
        <f>E127*D127/F127</f>
        <v>6.2199999999999998E-2</v>
      </c>
      <c r="D127">
        <v>40</v>
      </c>
      <c r="E127" s="4">
        <v>6.22</v>
      </c>
      <c r="F127">
        <v>4000</v>
      </c>
      <c r="G127" s="8">
        <f>L$42/L$43*E127/(F127*K$1)</f>
        <v>1.5856587111806786</v>
      </c>
      <c r="H127" s="8" t="str">
        <f>L$41</f>
        <v>Xenon</v>
      </c>
      <c r="I127" s="3">
        <f>E127/B127</f>
        <v>17.771428571428572</v>
      </c>
      <c r="J127" s="3" t="s">
        <v>449</v>
      </c>
    </row>
    <row r="128" spans="1:10" x14ac:dyDescent="0.25">
      <c r="A128" t="s">
        <v>533</v>
      </c>
      <c r="B128">
        <v>0.35</v>
      </c>
      <c r="C128" s="5">
        <f>E128*D128/F128</f>
        <v>8.2599999999999993E-2</v>
      </c>
      <c r="D128">
        <v>30</v>
      </c>
      <c r="E128" s="4">
        <v>8.26</v>
      </c>
      <c r="F128">
        <v>3000</v>
      </c>
      <c r="G128" s="8">
        <f>L$42/L$43*E128/(F128*K$1)</f>
        <v>2.8076186397325626</v>
      </c>
      <c r="H128" s="8" t="str">
        <f>L$41</f>
        <v>Xenon</v>
      </c>
      <c r="I128" s="3">
        <f>E128/B128</f>
        <v>23.6</v>
      </c>
      <c r="J128" s="3" t="s">
        <v>449</v>
      </c>
    </row>
    <row r="129" spans="1:10" x14ac:dyDescent="0.25">
      <c r="A129" t="s">
        <v>534</v>
      </c>
      <c r="B129">
        <v>0.35</v>
      </c>
      <c r="C129" s="5">
        <f>E129*D129/F129</f>
        <v>4.2300000000000004E-2</v>
      </c>
      <c r="D129">
        <v>50</v>
      </c>
      <c r="E129" s="4">
        <v>4.2300000000000004</v>
      </c>
      <c r="F129">
        <v>5000</v>
      </c>
      <c r="G129" s="8">
        <f>L$42/L$43*E129/(F129*K$1)</f>
        <v>0.86267991617932749</v>
      </c>
      <c r="H129" s="8" t="str">
        <f>L$41</f>
        <v>Xenon</v>
      </c>
      <c r="I129" s="3">
        <f>E129/B129</f>
        <v>12.085714285714287</v>
      </c>
      <c r="J129" s="3" t="s">
        <v>449</v>
      </c>
    </row>
    <row r="130" spans="1:10" x14ac:dyDescent="0.25">
      <c r="C130" s="5"/>
      <c r="E130" s="4"/>
      <c r="G130" s="8"/>
      <c r="H130" s="8"/>
      <c r="I130" s="3"/>
      <c r="J130" s="3"/>
    </row>
    <row r="131" spans="1:10" x14ac:dyDescent="0.25">
      <c r="C131" s="5"/>
      <c r="E131" s="4"/>
      <c r="G131" s="8"/>
      <c r="H131" s="8"/>
      <c r="I131" s="3"/>
      <c r="J131" s="3"/>
    </row>
    <row r="132" spans="1:10" x14ac:dyDescent="0.25">
      <c r="C132" s="5"/>
      <c r="E132" s="4"/>
      <c r="G132" s="8"/>
      <c r="H132" s="8"/>
      <c r="I132" s="3"/>
      <c r="J132" s="3"/>
    </row>
    <row r="133" spans="1:10" x14ac:dyDescent="0.25">
      <c r="C133" s="5"/>
      <c r="E133" s="4"/>
      <c r="G133" s="8"/>
      <c r="H133" s="8"/>
      <c r="I133" s="3"/>
      <c r="J133" s="3"/>
    </row>
    <row r="134" spans="1:10" x14ac:dyDescent="0.25">
      <c r="C134" s="5"/>
      <c r="E134" s="4"/>
      <c r="G134" s="8"/>
      <c r="H134" s="8"/>
      <c r="I134" s="3"/>
      <c r="J134" s="3"/>
    </row>
    <row r="135" spans="1:10" x14ac:dyDescent="0.25">
      <c r="C135" s="5"/>
      <c r="E135" s="4"/>
      <c r="G135" s="8"/>
      <c r="H135" s="8"/>
      <c r="I135" s="3"/>
      <c r="J135" s="3"/>
    </row>
    <row r="136" spans="1:10" x14ac:dyDescent="0.25">
      <c r="C136" s="5"/>
      <c r="E136" s="4"/>
      <c r="G136" s="8"/>
      <c r="H136" s="8"/>
      <c r="I136" s="3"/>
      <c r="J136" s="3"/>
    </row>
    <row r="137" spans="1:10" x14ac:dyDescent="0.25">
      <c r="C137" s="5"/>
      <c r="E137" s="4"/>
      <c r="G137" s="8"/>
      <c r="H137" s="8"/>
      <c r="I137" s="3"/>
      <c r="J137" s="3"/>
    </row>
  </sheetData>
  <dataValidations disablePrompts="1" count="1">
    <dataValidation type="list" allowBlank="1" showInputMessage="1" showErrorMessage="1" sqref="M2:M3">
      <formula1>INDIRECT("Engines[Engine]")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8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2" sqref="D2"/>
    </sheetView>
  </sheetViews>
  <sheetFormatPr defaultRowHeight="15" x14ac:dyDescent="0.25"/>
  <cols>
    <col min="1" max="13" width="12.7109375" customWidth="1"/>
  </cols>
  <sheetData>
    <row r="1" spans="1:13" x14ac:dyDescent="0.25">
      <c r="A1" s="80" t="s">
        <v>277</v>
      </c>
      <c r="B1" s="90" t="s">
        <v>147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81" t="s">
        <v>415</v>
      </c>
    </row>
    <row r="2" spans="1:13" x14ac:dyDescent="0.25">
      <c r="A2" s="79" t="s">
        <v>569</v>
      </c>
      <c r="B2" s="16" t="s">
        <v>44</v>
      </c>
      <c r="C2" s="18">
        <v>1</v>
      </c>
      <c r="D2" s="18">
        <v>2</v>
      </c>
      <c r="E2" s="18">
        <v>1</v>
      </c>
      <c r="F2" s="18">
        <v>1</v>
      </c>
      <c r="G2" s="18">
        <v>1</v>
      </c>
      <c r="H2" s="18">
        <v>1</v>
      </c>
      <c r="I2" s="18">
        <v>1</v>
      </c>
      <c r="J2" s="90" t="s">
        <v>48</v>
      </c>
      <c r="K2" s="90"/>
      <c r="L2" s="18">
        <v>4</v>
      </c>
      <c r="M2" s="58">
        <v>430350</v>
      </c>
    </row>
    <row r="3" spans="1:13" ht="15" hidden="1" customHeight="1" x14ac:dyDescent="0.25">
      <c r="A3" s="10">
        <f>VLOOKUP(A1,Reflectors[],COLUMN(Reflectors[Range]),FALSE)</f>
        <v>0</v>
      </c>
      <c r="B3" s="54">
        <f>VLOOKUP(B$4,Antennas[],COLUMN(Antennas[Range]),FALSE)*$M$3*$A$4</f>
        <v>1.3000000000000001E-2</v>
      </c>
      <c r="C3" s="55">
        <f>(VLOOKUP(C$4,Antennas[],COLUMN(Antennas[Range]),FALSE)*$M$3+$A$3*VLOOKUP(C$4,Antennas[],COLUMN(Antennas[FeedScale]),FALSE))*$A$4*POWER(C2,VLOOKUP(C$4,Antennas[],COLUMN(Antennas[Comb.]),FALSE))</f>
        <v>1.3</v>
      </c>
      <c r="D3" s="56">
        <f>(VLOOKUP(D$4,Antennas[],COLUMN(Antennas[Range]),FALSE)*$M$3+$A$3*VLOOKUP(D$4,Antennas[],COLUMN(Antennas[FeedScale]),FALSE))*$A$4*POWER(D2,VLOOKUP(D$4,Antennas[],COLUMN(Antennas[Comb.]),FALSE))</f>
        <v>21.863306796596579</v>
      </c>
      <c r="E3" s="57">
        <f>(VLOOKUP(E$4,Antennas[],COLUMN(Antennas[Range]),FALSE)*$M$3+$A$3*VLOOKUP(E$4,Antennas[],COLUMN(Antennas[FeedScale]),FALSE))*$A$4*POWER(E2,VLOOKUP(E$4,Antennas[],COLUMN(Antennas[Comb.]),FALSE))</f>
        <v>5200</v>
      </c>
      <c r="F3" s="57">
        <f>(VLOOKUP(F$4,Antennas[],COLUMN(Antennas[Range]),FALSE)*$M$3+$A$3*VLOOKUP(F$4,Antennas[],COLUMN(Antennas[FeedScale]),FALSE))*$A$4*POWER(F2,VLOOKUP(F$4,Antennas[],COLUMN(Antennas[Comb.]),FALSE))</f>
        <v>39000</v>
      </c>
      <c r="G3" s="57">
        <f>(VLOOKUP(G$4,Antennas[],COLUMN(Antennas[Range]),FALSE)*$M$3+$A$3*VLOOKUP(G$4,Antennas[],COLUMN(Antennas[FeedScale]),FALSE))*$A$4*POWER(G2,VLOOKUP(G$4,Antennas[],COLUMN(Antennas[Comb.]),FALSE))</f>
        <v>260000</v>
      </c>
      <c r="H3" s="57">
        <f>(VLOOKUP(H$4,Antennas[],COLUMN(Antennas[Range]),FALSE)*$M$3+$A$3*VLOOKUP(H$4,Antennas[],COLUMN(Antennas[FeedScale]),FALSE))*$A$4*POWER(H2,VLOOKUP(H$4,Antennas[],COLUMN(Antennas[Comb.]),FALSE))</f>
        <v>2600000</v>
      </c>
      <c r="I3" s="57">
        <f>(VLOOKUP(I$4,Antennas[],COLUMN(Antennas[Range]),FALSE)*$M$3+$A$3*VLOOKUP(I$4,Antennas[],COLUMN(Antennas[FeedScale]),FALSE))*$A$4*POWER(I2,VLOOKUP(I$4,Antennas[],COLUMN(Antennas[Comb.]),FALSE))</f>
        <v>2600000000</v>
      </c>
      <c r="J3">
        <v>2000</v>
      </c>
      <c r="K3">
        <v>50000</v>
      </c>
      <c r="L3">
        <v>250000</v>
      </c>
      <c r="M3" s="15">
        <f>VLOOKUP($M$1,Mods[],COLUMN(Mods[Modifier]),FALSE)</f>
        <v>4</v>
      </c>
    </row>
    <row r="4" spans="1:13" x14ac:dyDescent="0.25">
      <c r="A4" s="18">
        <v>0.65</v>
      </c>
      <c r="B4" s="18" t="s">
        <v>248</v>
      </c>
      <c r="C4" s="18" t="s">
        <v>57</v>
      </c>
      <c r="D4" s="18" t="s">
        <v>61</v>
      </c>
      <c r="E4" s="18" t="s">
        <v>64</v>
      </c>
      <c r="F4" s="18" t="s">
        <v>70</v>
      </c>
      <c r="G4" s="18" t="s">
        <v>72</v>
      </c>
      <c r="H4" s="18" t="s">
        <v>146</v>
      </c>
      <c r="I4" s="18" t="s">
        <v>558</v>
      </c>
      <c r="J4" s="10" t="s">
        <v>39</v>
      </c>
      <c r="K4" s="10" t="s">
        <v>40</v>
      </c>
      <c r="L4" s="10" t="s">
        <v>41</v>
      </c>
      <c r="M4" s="23" t="s">
        <v>258</v>
      </c>
    </row>
    <row r="5" spans="1:13" x14ac:dyDescent="0.25">
      <c r="A5" s="10" t="str">
        <f>B4</f>
        <v>Internal</v>
      </c>
      <c r="B5" s="59">
        <f t="shared" ref="B5:I5" si="0">SQRT(B$3*$B3)</f>
        <v>1.3000000000000001E-2</v>
      </c>
      <c r="C5" s="11">
        <f t="shared" si="0"/>
        <v>0.13</v>
      </c>
      <c r="D5" s="17">
        <f t="shared" si="0"/>
        <v>0.53312567782442777</v>
      </c>
      <c r="E5" s="17">
        <f t="shared" si="0"/>
        <v>8.2219219164377861</v>
      </c>
      <c r="F5" s="17">
        <f t="shared" si="0"/>
        <v>22.516660498395407</v>
      </c>
      <c r="G5" s="17">
        <f t="shared" si="0"/>
        <v>58.137767414994535</v>
      </c>
      <c r="H5" s="17">
        <f>SQRT(H$3*$B3)</f>
        <v>183.84776310850236</v>
      </c>
      <c r="I5" s="17">
        <f t="shared" si="0"/>
        <v>5813.7767414994532</v>
      </c>
      <c r="J5" s="17">
        <f>SQRT(J$3*$L$2*$B3)</f>
        <v>10.198039027185571</v>
      </c>
      <c r="K5" s="17">
        <f>SQRT(K$3*$L$2*$B3)</f>
        <v>50.990195135927856</v>
      </c>
      <c r="L5" s="17">
        <f>SQRT(L$3*$L$2*$B3)</f>
        <v>114.01754250991381</v>
      </c>
      <c r="M5" s="17">
        <f>SQRT($M$2*$B3)</f>
        <v>74.796724527214423</v>
      </c>
    </row>
    <row r="6" spans="1:13" x14ac:dyDescent="0.25">
      <c r="A6" s="10" t="str">
        <f>C4</f>
        <v>Comm 16</v>
      </c>
      <c r="B6" s="11">
        <f t="shared" ref="B6:I6" si="1">SQRT(B$3*$C3)</f>
        <v>0.13</v>
      </c>
      <c r="C6" s="59">
        <f t="shared" si="1"/>
        <v>1.3</v>
      </c>
      <c r="D6" s="17">
        <f t="shared" si="1"/>
        <v>5.3312567782442777</v>
      </c>
      <c r="E6" s="17">
        <f t="shared" si="1"/>
        <v>82.219219164377861</v>
      </c>
      <c r="F6" s="17">
        <f t="shared" si="1"/>
        <v>225.16660498395404</v>
      </c>
      <c r="G6" s="17">
        <f t="shared" si="1"/>
        <v>581.37767414994528</v>
      </c>
      <c r="H6" s="17">
        <f t="shared" si="1"/>
        <v>1838.4776310850236</v>
      </c>
      <c r="I6" s="17">
        <f t="shared" si="1"/>
        <v>58137.767414994531</v>
      </c>
      <c r="J6" s="17">
        <f>SQRT(J$3*$L$2*$C3)</f>
        <v>101.9803902718557</v>
      </c>
      <c r="K6" s="17">
        <f>SQRT(K$3*$L$2*$C3)</f>
        <v>509.90195135927848</v>
      </c>
      <c r="L6" s="17">
        <f>SQRT(L$3*$L$2*$C3)</f>
        <v>1140.175425099138</v>
      </c>
      <c r="M6" s="17">
        <f>SQRT($M$2*$C3)</f>
        <v>747.96724527214428</v>
      </c>
    </row>
    <row r="7" spans="1:13" x14ac:dyDescent="0.25">
      <c r="A7" s="10" t="str">
        <f>D4</f>
        <v>HG-5</v>
      </c>
      <c r="B7" s="17">
        <f t="shared" ref="B7:I7" si="2">SQRT(B$3*$D3)</f>
        <v>0.53312567782442777</v>
      </c>
      <c r="C7" s="17">
        <f t="shared" si="2"/>
        <v>5.3312567782442777</v>
      </c>
      <c r="D7" s="60">
        <f t="shared" si="2"/>
        <v>21.863306796596579</v>
      </c>
      <c r="E7" s="17">
        <f t="shared" si="2"/>
        <v>337.17828420926253</v>
      </c>
      <c r="F7" s="17">
        <f t="shared" si="2"/>
        <v>923.40076081150517</v>
      </c>
      <c r="G7" s="17">
        <f t="shared" si="2"/>
        <v>2384.2105123321453</v>
      </c>
      <c r="H7" s="17">
        <f t="shared" si="2"/>
        <v>7539.5356402865491</v>
      </c>
      <c r="I7" s="17">
        <f t="shared" si="2"/>
        <v>238421.05123321453</v>
      </c>
      <c r="J7" s="17">
        <f>SQRT(J$3*$L$2*$D3)</f>
        <v>418.21818991140572</v>
      </c>
      <c r="K7" s="17">
        <f>SQRT(K$3*$L$2*$D3)</f>
        <v>2091.0909495570286</v>
      </c>
      <c r="L7" s="17">
        <f>SQRT(L$3*$L$2*$D3)</f>
        <v>4675.8215103440998</v>
      </c>
      <c r="M7" s="17">
        <f>SQRT($M$2*$D3)</f>
        <v>3067.3888048167837</v>
      </c>
    </row>
    <row r="8" spans="1:13" x14ac:dyDescent="0.25">
      <c r="A8" s="10" t="str">
        <f>E4</f>
        <v>DTS-M1</v>
      </c>
      <c r="B8" s="17">
        <f t="shared" ref="B8:I8" si="3">SQRT(B$3*$E3)</f>
        <v>8.2219219164377861</v>
      </c>
      <c r="C8" s="17">
        <f t="shared" si="3"/>
        <v>82.219219164377861</v>
      </c>
      <c r="D8" s="17">
        <f t="shared" si="3"/>
        <v>337.17828420926253</v>
      </c>
      <c r="E8" s="60">
        <f t="shared" si="3"/>
        <v>5200</v>
      </c>
      <c r="F8" s="17">
        <f t="shared" si="3"/>
        <v>14240.786495134318</v>
      </c>
      <c r="G8" s="17">
        <f t="shared" si="3"/>
        <v>36769.552621700474</v>
      </c>
      <c r="H8" s="17">
        <f t="shared" si="3"/>
        <v>116275.53482998906</v>
      </c>
      <c r="I8" s="17">
        <f t="shared" si="3"/>
        <v>3676955.262170047</v>
      </c>
      <c r="J8" s="17">
        <f>SQRT(J$3*$L$2*$E3)</f>
        <v>6449.8061986388393</v>
      </c>
      <c r="K8" s="17">
        <f>SQRT(K$3*$L$2*$E3)</f>
        <v>32249.030993194199</v>
      </c>
      <c r="L8" s="17">
        <f>SQRT(L$3*$L$2*$E3)</f>
        <v>72111.025509279789</v>
      </c>
      <c r="M8" s="17">
        <f>SQRT($M$2*$E3)</f>
        <v>47305.602205235693</v>
      </c>
    </row>
    <row r="9" spans="1:13" x14ac:dyDescent="0.25">
      <c r="A9" s="10" t="str">
        <f>F4</f>
        <v>RA-15</v>
      </c>
      <c r="B9" s="17">
        <f t="shared" ref="B9:I9" si="4">SQRT(B$3*$F3)</f>
        <v>22.516660498395407</v>
      </c>
      <c r="C9" s="17">
        <f t="shared" si="4"/>
        <v>225.16660498395404</v>
      </c>
      <c r="D9" s="17">
        <f t="shared" si="4"/>
        <v>923.40076081150517</v>
      </c>
      <c r="E9" s="17">
        <f t="shared" si="4"/>
        <v>14240.786495134318</v>
      </c>
      <c r="F9" s="60">
        <f t="shared" si="4"/>
        <v>39000</v>
      </c>
      <c r="G9" s="17">
        <f t="shared" si="4"/>
        <v>100697.56700139283</v>
      </c>
      <c r="H9" s="17">
        <f t="shared" si="4"/>
        <v>318433.66656181315</v>
      </c>
      <c r="I9" s="31">
        <f t="shared" si="4"/>
        <v>10069756.700139284</v>
      </c>
      <c r="J9" s="17">
        <f>SQRT(J$3*$L$2*$F3)</f>
        <v>17663.521732655692</v>
      </c>
      <c r="K9" s="17">
        <f>SQRT(K$3*$L$2*$F3)</f>
        <v>88317.608663278472</v>
      </c>
      <c r="L9" s="17">
        <f>SQRT(L$3*$L$2*$F3)</f>
        <v>197484.176581315</v>
      </c>
      <c r="M9" s="31">
        <f>SQRT($M$2*$F3)</f>
        <v>129551.7271208686</v>
      </c>
    </row>
    <row r="10" spans="1:13" x14ac:dyDescent="0.25">
      <c r="A10" s="10" t="str">
        <f>G4</f>
        <v>88-88</v>
      </c>
      <c r="B10" s="17">
        <f t="shared" ref="B10:I10" si="5">SQRT(B$3*$G3)</f>
        <v>58.137767414994535</v>
      </c>
      <c r="C10" s="17">
        <f t="shared" si="5"/>
        <v>581.37767414994528</v>
      </c>
      <c r="D10" s="17">
        <f t="shared" si="5"/>
        <v>2384.2105123321453</v>
      </c>
      <c r="E10" s="17">
        <f t="shared" si="5"/>
        <v>36769.552621700474</v>
      </c>
      <c r="F10" s="17">
        <f t="shared" si="5"/>
        <v>100697.56700139283</v>
      </c>
      <c r="G10" s="60">
        <f t="shared" si="5"/>
        <v>260000</v>
      </c>
      <c r="H10" s="31">
        <f t="shared" si="5"/>
        <v>822192.19164377858</v>
      </c>
      <c r="I10" s="31">
        <f t="shared" si="5"/>
        <v>26000000</v>
      </c>
      <c r="J10" s="17">
        <f>SQRT(J$3*$L$2*$G3)</f>
        <v>45607.01700396552</v>
      </c>
      <c r="K10" s="17">
        <f>SQRT(K$3*$L$2*$G3)</f>
        <v>228035.08501982759</v>
      </c>
      <c r="L10" s="17">
        <f>SQRT(L$3*$L$2*$G3)</f>
        <v>509901.95135927846</v>
      </c>
      <c r="M10" s="31">
        <f>SQRT($M$2*$G3)</f>
        <v>334501.12107435457</v>
      </c>
    </row>
    <row r="11" spans="1:13" x14ac:dyDescent="0.25">
      <c r="A11" s="10" t="str">
        <f>H4</f>
        <v>JX2</v>
      </c>
      <c r="B11" s="17">
        <f t="shared" ref="B11:I11" si="6">SQRT(B$3*$H3)</f>
        <v>183.84776310850236</v>
      </c>
      <c r="C11" s="17">
        <f t="shared" si="6"/>
        <v>1838.4776310850236</v>
      </c>
      <c r="D11" s="17">
        <f t="shared" si="6"/>
        <v>7539.5356402865491</v>
      </c>
      <c r="E11" s="17">
        <f t="shared" si="6"/>
        <v>116275.53482998906</v>
      </c>
      <c r="F11" s="17">
        <f t="shared" si="6"/>
        <v>318433.66656181315</v>
      </c>
      <c r="G11" s="31">
        <f t="shared" si="6"/>
        <v>822192.19164377858</v>
      </c>
      <c r="H11" s="61">
        <f t="shared" si="6"/>
        <v>2600000</v>
      </c>
      <c r="I11" s="50">
        <f t="shared" si="6"/>
        <v>82219219.164377868</v>
      </c>
      <c r="J11" s="17">
        <f>SQRT(J$3*$L$2*$H3)</f>
        <v>144222.05101855958</v>
      </c>
      <c r="K11" s="31">
        <f>SQRT(K$3*$L$2*$H3)</f>
        <v>721110.2550927978</v>
      </c>
      <c r="L11" s="31">
        <f>SQRT(L$3*$L$2*$H3)</f>
        <v>1612451.5496597099</v>
      </c>
      <c r="M11" s="50">
        <f>SQRT($M$2*$H3)</f>
        <v>1057785.4224747096</v>
      </c>
    </row>
    <row r="12" spans="1:13" x14ac:dyDescent="0.25">
      <c r="A12" s="10" t="str">
        <f>I4</f>
        <v>X-ray Free Electron Laser Transmitter</v>
      </c>
      <c r="B12" s="17">
        <f>SQRT(B$3*$I$3)</f>
        <v>5813.7767414994532</v>
      </c>
      <c r="C12" s="17">
        <f t="shared" ref="C12:I12" si="7">SQRT(C$3*$I3)</f>
        <v>58137.767414994531</v>
      </c>
      <c r="D12" s="17">
        <f t="shared" si="7"/>
        <v>238421.05123321453</v>
      </c>
      <c r="E12" s="17">
        <f t="shared" si="7"/>
        <v>3676955.262170047</v>
      </c>
      <c r="F12" s="31">
        <f t="shared" si="7"/>
        <v>10069756.700139284</v>
      </c>
      <c r="G12" s="31">
        <f t="shared" si="7"/>
        <v>26000000</v>
      </c>
      <c r="H12" s="50">
        <f t="shared" si="7"/>
        <v>82219219.164377868</v>
      </c>
      <c r="I12" s="61">
        <f t="shared" si="7"/>
        <v>2600000000</v>
      </c>
      <c r="J12" s="31">
        <f>SQRT(J$3*$L$2*$I3)</f>
        <v>4560701.7003965518</v>
      </c>
      <c r="K12" s="31">
        <f>SQRT(K$3*$L$2*$I3)</f>
        <v>22803508.50198276</v>
      </c>
      <c r="L12" s="50">
        <f>SQRT(L$3*$L$2*$I3)</f>
        <v>50990195.135927849</v>
      </c>
      <c r="M12" s="50">
        <f>SQRT($M$2*$I3)</f>
        <v>33450112.107435454</v>
      </c>
    </row>
    <row r="13" spans="1:13" x14ac:dyDescent="0.25">
      <c r="A13" s="53"/>
      <c r="B13" s="36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x14ac:dyDescent="0.25">
      <c r="A14" s="14" t="s">
        <v>42</v>
      </c>
      <c r="B14" s="87" t="s">
        <v>43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9"/>
    </row>
    <row r="15" spans="1:13" x14ac:dyDescent="0.25">
      <c r="A15" s="18">
        <v>3.9</v>
      </c>
      <c r="B15" s="51" t="str">
        <f>B4</f>
        <v>Internal</v>
      </c>
      <c r="C15" s="51" t="str">
        <f t="shared" ref="C15:I15" si="8">C4</f>
        <v>Comm 16</v>
      </c>
      <c r="D15" s="51" t="str">
        <f t="shared" si="8"/>
        <v>HG-5</v>
      </c>
      <c r="E15" s="51" t="str">
        <f t="shared" si="8"/>
        <v>DTS-M1</v>
      </c>
      <c r="F15" s="51" t="str">
        <f t="shared" si="8"/>
        <v>RA-15</v>
      </c>
      <c r="G15" s="51" t="str">
        <f t="shared" si="8"/>
        <v>88-88</v>
      </c>
      <c r="H15" s="51" t="str">
        <f t="shared" si="8"/>
        <v>JX2</v>
      </c>
      <c r="I15" s="51" t="str">
        <f t="shared" si="8"/>
        <v>X-ray Free Electron Laser Transmitter</v>
      </c>
      <c r="J15" s="10" t="s">
        <v>39</v>
      </c>
      <c r="K15" s="10" t="s">
        <v>40</v>
      </c>
      <c r="L15" s="10" t="s">
        <v>41</v>
      </c>
      <c r="M15" s="10" t="s">
        <v>45</v>
      </c>
    </row>
    <row r="16" spans="1:13" x14ac:dyDescent="0.25">
      <c r="A16" s="10" t="str">
        <f>B15</f>
        <v>Internal</v>
      </c>
      <c r="B16" s="12">
        <f t="shared" ref="B16:M16" si="9">(3-2*B24)*B24*B24</f>
        <v>0</v>
      </c>
      <c r="C16" s="12">
        <f t="shared" si="9"/>
        <v>0</v>
      </c>
      <c r="D16" s="12">
        <f t="shared" si="9"/>
        <v>0</v>
      </c>
      <c r="E16" s="12">
        <f t="shared" si="9"/>
        <v>0.53845374206136554</v>
      </c>
      <c r="F16" s="12">
        <f t="shared" si="9"/>
        <v>0.92039230484541323</v>
      </c>
      <c r="G16" s="12">
        <f t="shared" si="9"/>
        <v>0.98710373835392495</v>
      </c>
      <c r="H16" s="12">
        <f t="shared" si="9"/>
        <v>0.99866909188309205</v>
      </c>
      <c r="I16" s="12">
        <f t="shared" si="9"/>
        <v>0.99999865060373827</v>
      </c>
      <c r="J16" s="12">
        <f t="shared" si="9"/>
        <v>0.67310974057944195</v>
      </c>
      <c r="K16" s="12">
        <f t="shared" si="9"/>
        <v>0.98334487792463554</v>
      </c>
      <c r="L16" s="12">
        <f t="shared" si="9"/>
        <v>0.99657004031484198</v>
      </c>
      <c r="M16" s="12">
        <f t="shared" si="9"/>
        <v>0.99212736305428229</v>
      </c>
    </row>
    <row r="17" spans="1:13" x14ac:dyDescent="0.25">
      <c r="A17" s="10" t="str">
        <f>C15</f>
        <v>Comm 16</v>
      </c>
      <c r="B17" s="12">
        <f t="shared" ref="B17:M17" si="10">(3-2*B25)*B25*B25</f>
        <v>0</v>
      </c>
      <c r="C17" s="12">
        <f t="shared" si="10"/>
        <v>0</v>
      </c>
      <c r="D17" s="12">
        <f t="shared" si="10"/>
        <v>0.1775221727760837</v>
      </c>
      <c r="E17" s="12">
        <f t="shared" si="10"/>
        <v>0.99346345374206135</v>
      </c>
      <c r="F17" s="12">
        <f t="shared" si="10"/>
        <v>0.99911039230484533</v>
      </c>
      <c r="G17" s="12">
        <f t="shared" si="10"/>
        <v>0.99986560373835387</v>
      </c>
      <c r="H17" s="12">
        <f t="shared" si="10"/>
        <v>0.99998651909188307</v>
      </c>
      <c r="I17" s="12">
        <f t="shared" si="10"/>
        <v>0.99999998650060373</v>
      </c>
      <c r="J17" s="12">
        <f t="shared" si="10"/>
        <v>0.99572435974057938</v>
      </c>
      <c r="K17" s="12">
        <f t="shared" si="10"/>
        <v>0.99982539487792477</v>
      </c>
      <c r="L17" s="12">
        <f t="shared" si="10"/>
        <v>0.99996498004031487</v>
      </c>
      <c r="M17" s="12">
        <f t="shared" si="10"/>
        <v>0.99991872199533038</v>
      </c>
    </row>
    <row r="18" spans="1:13" x14ac:dyDescent="0.25">
      <c r="A18" s="10" t="str">
        <f>D15</f>
        <v>HG-5</v>
      </c>
      <c r="B18" s="12">
        <f t="shared" ref="B18:M18" si="11">(3-2*B26)*B26*B26</f>
        <v>0</v>
      </c>
      <c r="C18" s="12">
        <f t="shared" si="11"/>
        <v>0.1775221727760837</v>
      </c>
      <c r="D18" s="12">
        <f t="shared" si="11"/>
        <v>0.91589268614574126</v>
      </c>
      <c r="E18" s="12">
        <f t="shared" si="11"/>
        <v>0.99960173748733239</v>
      </c>
      <c r="F18" s="12">
        <f t="shared" si="11"/>
        <v>0.99994663635896475</v>
      </c>
      <c r="G18" s="12">
        <f t="shared" si="11"/>
        <v>0.99999198160564073</v>
      </c>
      <c r="H18" s="12">
        <f t="shared" si="11"/>
        <v>0.99999919756201272</v>
      </c>
      <c r="I18" s="12">
        <f t="shared" si="11"/>
        <v>0.99999999919729388</v>
      </c>
      <c r="J18" s="12">
        <f t="shared" si="11"/>
        <v>0.99974073955549403</v>
      </c>
      <c r="K18" s="12">
        <f t="shared" si="11"/>
        <v>0.99998957768249663</v>
      </c>
      <c r="L18" s="12">
        <f t="shared" si="11"/>
        <v>0.99999791410202621</v>
      </c>
      <c r="M18" s="12">
        <f t="shared" si="11"/>
        <v>0.99999515443373832</v>
      </c>
    </row>
    <row r="19" spans="1:13" x14ac:dyDescent="0.25">
      <c r="A19" s="10" t="str">
        <f>E15</f>
        <v>DTS-M1</v>
      </c>
      <c r="B19" s="12">
        <f t="shared" ref="B19:M19" si="12">(3-2*B27)*B27*B27</f>
        <v>0.53845374206136554</v>
      </c>
      <c r="C19" s="12">
        <f t="shared" si="12"/>
        <v>0.99346345374206135</v>
      </c>
      <c r="D19" s="12">
        <f t="shared" si="12"/>
        <v>0.99960173748733239</v>
      </c>
      <c r="E19" s="12">
        <f t="shared" si="12"/>
        <v>0.99999831334375</v>
      </c>
      <c r="F19" s="12">
        <f t="shared" si="12"/>
        <v>0.99999977504107906</v>
      </c>
      <c r="G19" s="12">
        <f t="shared" si="12"/>
        <v>0.99999996625238652</v>
      </c>
      <c r="H19" s="12">
        <f t="shared" si="12"/>
        <v>0.99999999662507544</v>
      </c>
      <c r="I19" s="12">
        <f t="shared" si="12"/>
        <v>0.99999999999662492</v>
      </c>
      <c r="J19" s="12">
        <f t="shared" si="12"/>
        <v>0.99999890356716437</v>
      </c>
      <c r="K19" s="12">
        <f t="shared" si="12"/>
        <v>0.99999995612853732</v>
      </c>
      <c r="L19" s="12">
        <f t="shared" si="12"/>
        <v>0.99999999122531646</v>
      </c>
      <c r="M19" s="12">
        <f t="shared" si="12"/>
        <v>0.99999997961074072</v>
      </c>
    </row>
    <row r="20" spans="1:13" x14ac:dyDescent="0.25">
      <c r="A20" s="10" t="str">
        <f>F15</f>
        <v>RA-15</v>
      </c>
      <c r="B20" s="12">
        <f t="shared" ref="B20:M20" si="13">(3-2*B28)*B28*B28</f>
        <v>0.92039230484541323</v>
      </c>
      <c r="C20" s="12">
        <f t="shared" si="13"/>
        <v>0.99911039230484533</v>
      </c>
      <c r="D20" s="12">
        <f t="shared" si="13"/>
        <v>0.99994663635896475</v>
      </c>
      <c r="E20" s="12">
        <f t="shared" si="13"/>
        <v>0.99999977504107906</v>
      </c>
      <c r="F20" s="12">
        <f t="shared" si="13"/>
        <v>0.99999997000199992</v>
      </c>
      <c r="G20" s="12">
        <f t="shared" si="13"/>
        <v>0.9999999955001162</v>
      </c>
      <c r="H20" s="12">
        <f t="shared" si="13"/>
        <v>0.99999999955000363</v>
      </c>
      <c r="I20" s="12">
        <f t="shared" si="13"/>
        <v>0.99999999999954992</v>
      </c>
      <c r="J20" s="12">
        <f t="shared" si="13"/>
        <v>0.99999985377152745</v>
      </c>
      <c r="K20" s="12">
        <f t="shared" si="13"/>
        <v>0.99999999415017216</v>
      </c>
      <c r="L20" s="12">
        <f t="shared" si="13"/>
        <v>0.99999999883001545</v>
      </c>
      <c r="M20" s="12">
        <f t="shared" si="13"/>
        <v>0.99999999728133726</v>
      </c>
    </row>
    <row r="21" spans="1:13" x14ac:dyDescent="0.25">
      <c r="A21" s="10" t="str">
        <f>G15</f>
        <v>88-88</v>
      </c>
      <c r="B21" s="12">
        <f t="shared" ref="B21:M21" si="14">(3-2*B29)*B29*B29</f>
        <v>0.98710373835392495</v>
      </c>
      <c r="C21" s="12">
        <f t="shared" si="14"/>
        <v>0.99986560373835387</v>
      </c>
      <c r="D21" s="12">
        <f t="shared" si="14"/>
        <v>0.99999198160564073</v>
      </c>
      <c r="E21" s="12">
        <f t="shared" si="14"/>
        <v>0.99999996625238652</v>
      </c>
      <c r="F21" s="12">
        <f t="shared" si="14"/>
        <v>0.9999999955001162</v>
      </c>
      <c r="G21" s="12">
        <f t="shared" si="14"/>
        <v>0.99999999932500683</v>
      </c>
      <c r="H21" s="12">
        <f t="shared" si="14"/>
        <v>0.99999999993250022</v>
      </c>
      <c r="I21" s="12">
        <f t="shared" si="14"/>
        <v>0.99999999999993239</v>
      </c>
      <c r="J21" s="12">
        <f t="shared" si="14"/>
        <v>0.99999997806375052</v>
      </c>
      <c r="K21" s="12">
        <f t="shared" si="14"/>
        <v>0.99999999912250992</v>
      </c>
      <c r="L21" s="12">
        <f t="shared" si="14"/>
        <v>0.99999999982450094</v>
      </c>
      <c r="M21" s="12">
        <f t="shared" si="14"/>
        <v>0.99999999959219565</v>
      </c>
    </row>
    <row r="22" spans="1:13" x14ac:dyDescent="0.25">
      <c r="A22" s="10" t="str">
        <f>H15</f>
        <v>JX2</v>
      </c>
      <c r="B22" s="12">
        <f t="shared" ref="B22:M22" si="15">(3-2*B30)*B30*B30</f>
        <v>0.99866909188309205</v>
      </c>
      <c r="C22" s="12">
        <f t="shared" si="15"/>
        <v>0.99998651909188307</v>
      </c>
      <c r="D22" s="12">
        <f t="shared" si="15"/>
        <v>0.99999919756201272</v>
      </c>
      <c r="E22" s="12">
        <f t="shared" si="15"/>
        <v>0.99999999662507544</v>
      </c>
      <c r="F22" s="12">
        <f t="shared" si="15"/>
        <v>0.99999999955000363</v>
      </c>
      <c r="G22" s="12">
        <f t="shared" si="15"/>
        <v>0.99999999993250022</v>
      </c>
      <c r="H22" s="12">
        <f t="shared" si="15"/>
        <v>0.99999999999325007</v>
      </c>
      <c r="I22" s="12">
        <f t="shared" si="15"/>
        <v>0.99999999999999323</v>
      </c>
      <c r="J22" s="12">
        <f t="shared" si="15"/>
        <v>0.99999999780628968</v>
      </c>
      <c r="K22" s="12">
        <f t="shared" si="15"/>
        <v>0.99999999991225019</v>
      </c>
      <c r="L22" s="12">
        <f t="shared" si="15"/>
        <v>0.99999999998244993</v>
      </c>
      <c r="M22" s="12">
        <f t="shared" si="15"/>
        <v>0.9999999999592194</v>
      </c>
    </row>
    <row r="23" spans="1:13" x14ac:dyDescent="0.25">
      <c r="A23" s="10" t="str">
        <f>I15</f>
        <v>X-ray Free Electron Laser Transmitter</v>
      </c>
      <c r="B23" s="12">
        <f t="shared" ref="B23:M23" si="16">(3-2*B31)*B31*B31</f>
        <v>0.99999865060373827</v>
      </c>
      <c r="C23" s="12">
        <f t="shared" si="16"/>
        <v>0.99999998650060373</v>
      </c>
      <c r="D23" s="12">
        <f t="shared" si="16"/>
        <v>0.99999999919729388</v>
      </c>
      <c r="E23" s="12">
        <f t="shared" si="16"/>
        <v>0.99999999999662492</v>
      </c>
      <c r="F23" s="12">
        <f t="shared" si="16"/>
        <v>0.99999999999954992</v>
      </c>
      <c r="G23" s="12">
        <f t="shared" si="16"/>
        <v>0.99999999999993239</v>
      </c>
      <c r="H23" s="12">
        <f t="shared" si="16"/>
        <v>0.99999999999999323</v>
      </c>
      <c r="I23" s="12">
        <f t="shared" si="16"/>
        <v>0.99999999999999989</v>
      </c>
      <c r="J23" s="12">
        <f t="shared" si="16"/>
        <v>0.9999999999978062</v>
      </c>
      <c r="K23" s="12">
        <f t="shared" si="16"/>
        <v>0.9999999999999124</v>
      </c>
      <c r="L23" s="12">
        <f t="shared" si="16"/>
        <v>0.99999999999998246</v>
      </c>
      <c r="M23" s="12">
        <f t="shared" si="16"/>
        <v>0.99999999999995937</v>
      </c>
    </row>
    <row r="24" spans="1:13" hidden="1" x14ac:dyDescent="0.25">
      <c r="A24" s="10">
        <f>B3</f>
        <v>1.3000000000000001E-2</v>
      </c>
      <c r="B24" s="11">
        <f t="shared" ref="B24:M24" si="17">MAX(0,1-$A$15/B5)</f>
        <v>0</v>
      </c>
      <c r="C24" s="11">
        <f t="shared" si="17"/>
        <v>0</v>
      </c>
      <c r="D24" s="11">
        <f t="shared" si="17"/>
        <v>0</v>
      </c>
      <c r="E24" s="11">
        <f t="shared" si="17"/>
        <v>0.52565835097474312</v>
      </c>
      <c r="F24" s="11">
        <f t="shared" si="17"/>
        <v>0.82679491924311233</v>
      </c>
      <c r="G24" s="11">
        <f t="shared" si="17"/>
        <v>0.93291796067500632</v>
      </c>
      <c r="H24" s="11">
        <f t="shared" si="17"/>
        <v>0.97878679656440359</v>
      </c>
      <c r="I24" s="11">
        <f t="shared" si="17"/>
        <v>0.99932917960675005</v>
      </c>
      <c r="J24" s="11">
        <f t="shared" si="17"/>
        <v>0.61757353648054125</v>
      </c>
      <c r="K24" s="11">
        <f t="shared" si="17"/>
        <v>0.92351470729610829</v>
      </c>
      <c r="L24" s="11">
        <f t="shared" si="17"/>
        <v>0.96579473724702591</v>
      </c>
      <c r="M24" s="11">
        <f t="shared" si="17"/>
        <v>0.9478586793118059</v>
      </c>
    </row>
    <row r="25" spans="1:13" hidden="1" x14ac:dyDescent="0.25">
      <c r="A25" s="25">
        <f>C3</f>
        <v>1.3</v>
      </c>
      <c r="B25" s="11">
        <f t="shared" ref="B25:M25" si="18">MAX(0,1-$A$15/B6)</f>
        <v>0</v>
      </c>
      <c r="C25" s="11">
        <f t="shared" si="18"/>
        <v>0</v>
      </c>
      <c r="D25" s="11">
        <f t="shared" si="18"/>
        <v>0.26846517393139491</v>
      </c>
      <c r="E25" s="11">
        <f t="shared" si="18"/>
        <v>0.95256583509747428</v>
      </c>
      <c r="F25" s="11">
        <f t="shared" si="18"/>
        <v>0.98267949192431125</v>
      </c>
      <c r="G25" s="11">
        <f t="shared" si="18"/>
        <v>0.99329179606750062</v>
      </c>
      <c r="H25" s="11">
        <f t="shared" si="18"/>
        <v>0.99787867965644039</v>
      </c>
      <c r="I25" s="11">
        <f t="shared" si="18"/>
        <v>0.99993291796067496</v>
      </c>
      <c r="J25" s="11">
        <f t="shared" si="18"/>
        <v>0.96175735364805415</v>
      </c>
      <c r="K25" s="11">
        <f t="shared" si="18"/>
        <v>0.99235147072961083</v>
      </c>
      <c r="L25" s="11">
        <f t="shared" si="18"/>
        <v>0.99657947372470257</v>
      </c>
      <c r="M25" s="11">
        <f t="shared" si="18"/>
        <v>0.99478586793118062</v>
      </c>
    </row>
    <row r="26" spans="1:13" hidden="1" x14ac:dyDescent="0.25">
      <c r="A26" s="21">
        <f>D3</f>
        <v>21.863306796596579</v>
      </c>
      <c r="B26" s="11">
        <f t="shared" ref="B26:M26" si="19">MAX(0,1-$A$15/B7)</f>
        <v>0</v>
      </c>
      <c r="C26" s="11">
        <f t="shared" si="19"/>
        <v>0.26846517393139491</v>
      </c>
      <c r="D26" s="11">
        <f t="shared" si="19"/>
        <v>0.82161893274959186</v>
      </c>
      <c r="E26" s="11">
        <f t="shared" si="19"/>
        <v>0.98843341880944047</v>
      </c>
      <c r="F26" s="11">
        <f t="shared" si="19"/>
        <v>0.99577648171247701</v>
      </c>
      <c r="G26" s="11">
        <f t="shared" si="19"/>
        <v>0.99836423840100208</v>
      </c>
      <c r="H26" s="11">
        <f t="shared" si="19"/>
        <v>0.99948272676381278</v>
      </c>
      <c r="I26" s="11">
        <f t="shared" si="19"/>
        <v>0.99998364238401005</v>
      </c>
      <c r="J26" s="11">
        <f t="shared" si="19"/>
        <v>0.99067472411750868</v>
      </c>
      <c r="K26" s="11">
        <f t="shared" si="19"/>
        <v>0.99813494482350174</v>
      </c>
      <c r="L26" s="11">
        <f t="shared" si="19"/>
        <v>0.99916592196871246</v>
      </c>
      <c r="M26" s="11">
        <f t="shared" si="19"/>
        <v>0.99872856026797918</v>
      </c>
    </row>
    <row r="27" spans="1:13" hidden="1" x14ac:dyDescent="0.25">
      <c r="A27" s="52">
        <f>E3</f>
        <v>5200</v>
      </c>
      <c r="B27" s="11">
        <f t="shared" ref="B27:M27" si="20">MAX(0,1-$A$15/B8)</f>
        <v>0.52565835097474312</v>
      </c>
      <c r="C27" s="11">
        <f t="shared" si="20"/>
        <v>0.95256583509747428</v>
      </c>
      <c r="D27" s="11">
        <f t="shared" si="20"/>
        <v>0.98843341880944047</v>
      </c>
      <c r="E27" s="11">
        <f t="shared" si="20"/>
        <v>0.99924999999999997</v>
      </c>
      <c r="F27" s="11">
        <f t="shared" si="20"/>
        <v>0.99972613872124738</v>
      </c>
      <c r="G27" s="11">
        <f t="shared" si="20"/>
        <v>0.999893933982822</v>
      </c>
      <c r="H27" s="11">
        <f t="shared" si="20"/>
        <v>0.99996645898033754</v>
      </c>
      <c r="I27" s="11">
        <f t="shared" si="20"/>
        <v>0.9999989393398282</v>
      </c>
      <c r="J27" s="11">
        <f t="shared" si="20"/>
        <v>0.99939533066887765</v>
      </c>
      <c r="K27" s="11">
        <f t="shared" si="20"/>
        <v>0.99987906613377553</v>
      </c>
      <c r="L27" s="11">
        <f t="shared" si="20"/>
        <v>0.99994591673086808</v>
      </c>
      <c r="M27" s="11">
        <f t="shared" si="20"/>
        <v>0.99991755733320797</v>
      </c>
    </row>
    <row r="28" spans="1:13" hidden="1" x14ac:dyDescent="0.25">
      <c r="A28" s="52">
        <f>F3</f>
        <v>39000</v>
      </c>
      <c r="B28" s="11">
        <f t="shared" ref="B28:M28" si="21">MAX(0,1-$A$15/B9)</f>
        <v>0.82679491924311233</v>
      </c>
      <c r="C28" s="11">
        <f t="shared" si="21"/>
        <v>0.98267949192431125</v>
      </c>
      <c r="D28" s="11">
        <f t="shared" si="21"/>
        <v>0.99577648171247701</v>
      </c>
      <c r="E28" s="11">
        <f t="shared" si="21"/>
        <v>0.99972613872124738</v>
      </c>
      <c r="F28" s="11">
        <f t="shared" si="21"/>
        <v>0.99990000000000001</v>
      </c>
      <c r="G28" s="11">
        <f t="shared" si="21"/>
        <v>0.99996127016653791</v>
      </c>
      <c r="H28" s="11">
        <f t="shared" si="21"/>
        <v>0.99998775255128614</v>
      </c>
      <c r="I28" s="11">
        <f t="shared" si="21"/>
        <v>0.99999961270166537</v>
      </c>
      <c r="J28" s="11">
        <f t="shared" si="21"/>
        <v>0.9997792059783418</v>
      </c>
      <c r="K28" s="11">
        <f t="shared" si="21"/>
        <v>0.99995584119566838</v>
      </c>
      <c r="L28" s="11">
        <f t="shared" si="21"/>
        <v>0.99998025158234183</v>
      </c>
      <c r="M28" s="11">
        <f t="shared" si="21"/>
        <v>0.99996989619446475</v>
      </c>
    </row>
    <row r="29" spans="1:13" hidden="1" x14ac:dyDescent="0.25">
      <c r="A29" s="52">
        <f>G3</f>
        <v>260000</v>
      </c>
      <c r="B29" s="11">
        <f t="shared" ref="B29:M29" si="22">MAX(0,1-$A$15/B10)</f>
        <v>0.93291796067500632</v>
      </c>
      <c r="C29" s="11">
        <f t="shared" si="22"/>
        <v>0.99329179606750062</v>
      </c>
      <c r="D29" s="11">
        <f t="shared" si="22"/>
        <v>0.99836423840100208</v>
      </c>
      <c r="E29" s="11">
        <f t="shared" si="22"/>
        <v>0.999893933982822</v>
      </c>
      <c r="F29" s="11">
        <f t="shared" si="22"/>
        <v>0.99996127016653791</v>
      </c>
      <c r="G29" s="11">
        <f t="shared" si="22"/>
        <v>0.99998500000000001</v>
      </c>
      <c r="H29" s="11">
        <f t="shared" si="22"/>
        <v>0.99999525658350974</v>
      </c>
      <c r="I29" s="11">
        <f t="shared" si="22"/>
        <v>0.99999985000000002</v>
      </c>
      <c r="J29" s="11">
        <f t="shared" si="22"/>
        <v>0.99991448684311757</v>
      </c>
      <c r="K29" s="11">
        <f t="shared" si="22"/>
        <v>0.99998289736862356</v>
      </c>
      <c r="L29" s="11">
        <f t="shared" si="22"/>
        <v>0.99999235147072962</v>
      </c>
      <c r="M29" s="11">
        <f t="shared" si="22"/>
        <v>0.99998834084625043</v>
      </c>
    </row>
    <row r="30" spans="1:13" hidden="1" x14ac:dyDescent="0.25">
      <c r="A30" s="52">
        <f>H3</f>
        <v>2600000</v>
      </c>
      <c r="B30" s="11">
        <f t="shared" ref="B30:M30" si="23">MAX(0,1-$A$15/B11)</f>
        <v>0.97878679656440359</v>
      </c>
      <c r="C30" s="11">
        <f t="shared" si="23"/>
        <v>0.99787867965644039</v>
      </c>
      <c r="D30" s="11">
        <f t="shared" si="23"/>
        <v>0.99948272676381278</v>
      </c>
      <c r="E30" s="11">
        <f t="shared" si="23"/>
        <v>0.99996645898033754</v>
      </c>
      <c r="F30" s="11">
        <f t="shared" si="23"/>
        <v>0.99998775255128614</v>
      </c>
      <c r="G30" s="11">
        <f t="shared" si="23"/>
        <v>0.99999525658350974</v>
      </c>
      <c r="H30" s="11">
        <f t="shared" si="23"/>
        <v>0.99999850000000001</v>
      </c>
      <c r="I30" s="11">
        <f t="shared" si="23"/>
        <v>0.99999995256583507</v>
      </c>
      <c r="J30" s="11">
        <f t="shared" si="23"/>
        <v>0.99997295836543398</v>
      </c>
      <c r="K30" s="11">
        <f t="shared" si="23"/>
        <v>0.9999945916730868</v>
      </c>
      <c r="L30" s="11">
        <f t="shared" si="23"/>
        <v>0.99999758132267547</v>
      </c>
      <c r="M30" s="11">
        <f t="shared" si="23"/>
        <v>0.9999963130518561</v>
      </c>
    </row>
    <row r="31" spans="1:13" hidden="1" x14ac:dyDescent="0.25">
      <c r="A31" s="52">
        <f>I3</f>
        <v>2600000000</v>
      </c>
      <c r="B31" s="11">
        <f t="shared" ref="B31:M31" si="24">MAX(0,1-$A$15/B12)</f>
        <v>0.99932917960675005</v>
      </c>
      <c r="C31" s="11">
        <f t="shared" si="24"/>
        <v>0.99993291796067496</v>
      </c>
      <c r="D31" s="11">
        <f t="shared" si="24"/>
        <v>0.99998364238401005</v>
      </c>
      <c r="E31" s="11">
        <f t="shared" si="24"/>
        <v>0.9999989393398282</v>
      </c>
      <c r="F31" s="11">
        <f t="shared" si="24"/>
        <v>0.99999961270166537</v>
      </c>
      <c r="G31" s="11">
        <f t="shared" si="24"/>
        <v>0.99999985000000002</v>
      </c>
      <c r="H31" s="11">
        <f t="shared" si="24"/>
        <v>0.99999995256583507</v>
      </c>
      <c r="I31" s="11">
        <f t="shared" si="24"/>
        <v>0.99999999849999999</v>
      </c>
      <c r="J31" s="11">
        <f t="shared" si="24"/>
        <v>0.99999914486843122</v>
      </c>
      <c r="K31" s="11">
        <f t="shared" si="24"/>
        <v>0.99999982897368622</v>
      </c>
      <c r="L31" s="11">
        <f t="shared" si="24"/>
        <v>0.99999992351470735</v>
      </c>
      <c r="M31" s="11">
        <f t="shared" si="24"/>
        <v>0.99999988340846246</v>
      </c>
    </row>
    <row r="33" spans="1:12" x14ac:dyDescent="0.25">
      <c r="A33" s="40"/>
      <c r="B33" s="40"/>
      <c r="C33" s="40"/>
      <c r="D33" s="40"/>
      <c r="E33" s="48" t="s">
        <v>60</v>
      </c>
      <c r="F33" s="47"/>
      <c r="G33" s="18">
        <f>VLOOKUP(E33,Sensors[],COLUMN(Sensors[Data Size]),FALSE)</f>
        <v>8</v>
      </c>
      <c r="H33" s="28" t="s">
        <v>82</v>
      </c>
      <c r="I33" s="19">
        <v>0</v>
      </c>
    </row>
    <row r="34" spans="1:12" x14ac:dyDescent="0.25">
      <c r="A34" s="41" t="s">
        <v>233</v>
      </c>
      <c r="B34" s="40" t="s">
        <v>80</v>
      </c>
      <c r="C34" s="40" t="s">
        <v>51</v>
      </c>
      <c r="D34" s="40" t="s">
        <v>52</v>
      </c>
      <c r="E34" s="40" t="s">
        <v>53</v>
      </c>
      <c r="F34" s="40" t="s">
        <v>54</v>
      </c>
      <c r="G34" s="40" t="s">
        <v>55</v>
      </c>
      <c r="H34" s="40" t="s">
        <v>56</v>
      </c>
      <c r="I34" s="40" t="s">
        <v>570</v>
      </c>
      <c r="J34" s="41" t="s">
        <v>255</v>
      </c>
      <c r="K34" s="41" t="s">
        <v>256</v>
      </c>
      <c r="L34" s="47" t="s">
        <v>567</v>
      </c>
    </row>
    <row r="35" spans="1:12" x14ac:dyDescent="0.25">
      <c r="A35" s="41" t="s">
        <v>248</v>
      </c>
      <c r="B35" s="40">
        <v>5.0000000000000001E-3</v>
      </c>
      <c r="C35" s="40" t="s">
        <v>234</v>
      </c>
      <c r="D35" s="40">
        <v>0</v>
      </c>
      <c r="E35" s="40">
        <v>2</v>
      </c>
      <c r="F35" s="43">
        <v>1</v>
      </c>
      <c r="G35" s="40">
        <v>12</v>
      </c>
      <c r="H35" s="44">
        <f t="shared" ref="H35:H105" si="25">(G$33/E35)*F35</f>
        <v>4</v>
      </c>
      <c r="I35" s="49">
        <f t="shared" ref="I35:I105" si="26">MAX((G$33/E35)*G35-H35*I$33,0)</f>
        <v>48</v>
      </c>
      <c r="J35" s="41">
        <v>0</v>
      </c>
      <c r="K35" s="41" t="s">
        <v>148</v>
      </c>
      <c r="L35" s="42"/>
    </row>
    <row r="36" spans="1:12" x14ac:dyDescent="0.25">
      <c r="A36" s="41" t="s">
        <v>583</v>
      </c>
      <c r="B36" s="40">
        <v>5.0000000000000001E-3</v>
      </c>
      <c r="C36" s="40" t="s">
        <v>58</v>
      </c>
      <c r="D36" s="40">
        <v>1</v>
      </c>
      <c r="E36" s="40">
        <v>2</v>
      </c>
      <c r="F36" s="43">
        <v>0.6</v>
      </c>
      <c r="G36" s="40">
        <v>24</v>
      </c>
      <c r="H36" s="44">
        <f t="shared" ref="H36:H43" si="27">(G$33/E36)*F36</f>
        <v>2.4</v>
      </c>
      <c r="I36" s="49">
        <f t="shared" ref="I36:I43" si="28">MAX((G$33/E36)*G36-H36*I$33,0)</f>
        <v>96</v>
      </c>
      <c r="J36" s="41">
        <v>0.5</v>
      </c>
      <c r="K36" s="41" t="s">
        <v>449</v>
      </c>
      <c r="L36" s="42">
        <v>1</v>
      </c>
    </row>
    <row r="37" spans="1:12" x14ac:dyDescent="0.25">
      <c r="A37" s="41" t="s">
        <v>584</v>
      </c>
      <c r="B37" s="40">
        <v>5.0000000000000001E-3</v>
      </c>
      <c r="C37" s="40" t="s">
        <v>62</v>
      </c>
      <c r="D37" s="40">
        <v>1</v>
      </c>
      <c r="E37" s="40">
        <v>2</v>
      </c>
      <c r="F37" s="43">
        <v>0.6</v>
      </c>
      <c r="G37" s="40">
        <v>24</v>
      </c>
      <c r="H37" s="44">
        <f t="shared" si="27"/>
        <v>2.4</v>
      </c>
      <c r="I37" s="49">
        <f t="shared" si="28"/>
        <v>96</v>
      </c>
      <c r="J37" s="41">
        <v>0.5</v>
      </c>
      <c r="K37" s="41" t="s">
        <v>449</v>
      </c>
      <c r="L37" s="42">
        <v>1</v>
      </c>
    </row>
    <row r="38" spans="1:12" x14ac:dyDescent="0.25">
      <c r="A38" s="41" t="s">
        <v>571</v>
      </c>
      <c r="B38" s="40">
        <v>0.04</v>
      </c>
      <c r="C38" s="40" t="s">
        <v>58</v>
      </c>
      <c r="D38" s="40">
        <v>1</v>
      </c>
      <c r="E38" s="40">
        <v>2</v>
      </c>
      <c r="F38" s="43">
        <v>0.75</v>
      </c>
      <c r="G38" s="40">
        <v>8</v>
      </c>
      <c r="H38" s="44">
        <f t="shared" si="27"/>
        <v>3</v>
      </c>
      <c r="I38" s="49">
        <f t="shared" si="28"/>
        <v>32</v>
      </c>
      <c r="J38" s="41">
        <v>0.75</v>
      </c>
      <c r="K38" s="41" t="s">
        <v>449</v>
      </c>
      <c r="L38" s="42">
        <v>0.5</v>
      </c>
    </row>
    <row r="39" spans="1:12" x14ac:dyDescent="0.25">
      <c r="A39" s="41" t="s">
        <v>572</v>
      </c>
      <c r="B39" s="40">
        <v>0.15</v>
      </c>
      <c r="C39" s="40" t="s">
        <v>58</v>
      </c>
      <c r="D39" s="40">
        <v>1</v>
      </c>
      <c r="E39" s="40">
        <v>2</v>
      </c>
      <c r="F39" s="43">
        <v>0.75</v>
      </c>
      <c r="G39" s="40">
        <v>8</v>
      </c>
      <c r="H39" s="44">
        <f t="shared" si="27"/>
        <v>3</v>
      </c>
      <c r="I39" s="49">
        <f t="shared" si="28"/>
        <v>32</v>
      </c>
      <c r="J39" s="41">
        <v>0.75</v>
      </c>
      <c r="K39" s="41" t="s">
        <v>449</v>
      </c>
      <c r="L39" s="42">
        <v>0.5</v>
      </c>
    </row>
    <row r="40" spans="1:12" x14ac:dyDescent="0.25">
      <c r="A40" s="41" t="s">
        <v>574</v>
      </c>
      <c r="B40" s="40">
        <v>0.125</v>
      </c>
      <c r="C40" s="40" t="s">
        <v>58</v>
      </c>
      <c r="D40" s="40">
        <v>1</v>
      </c>
      <c r="E40" s="40">
        <v>2</v>
      </c>
      <c r="F40" s="43">
        <v>0.4</v>
      </c>
      <c r="G40" s="40">
        <v>14</v>
      </c>
      <c r="H40" s="44">
        <f t="shared" si="27"/>
        <v>1.6</v>
      </c>
      <c r="I40" s="49">
        <f t="shared" si="28"/>
        <v>56</v>
      </c>
      <c r="J40" s="41">
        <v>1</v>
      </c>
      <c r="K40" s="41" t="s">
        <v>449</v>
      </c>
      <c r="L40" s="42">
        <v>0.9</v>
      </c>
    </row>
    <row r="41" spans="1:12" x14ac:dyDescent="0.25">
      <c r="A41" s="41" t="s">
        <v>575</v>
      </c>
      <c r="B41" s="40">
        <v>0.2</v>
      </c>
      <c r="C41" s="40" t="s">
        <v>58</v>
      </c>
      <c r="D41" s="40">
        <v>1</v>
      </c>
      <c r="E41" s="40">
        <v>2</v>
      </c>
      <c r="F41" s="43">
        <v>0.4</v>
      </c>
      <c r="G41" s="40">
        <v>14</v>
      </c>
      <c r="H41" s="44">
        <f t="shared" si="27"/>
        <v>1.6</v>
      </c>
      <c r="I41" s="49">
        <f t="shared" si="28"/>
        <v>56</v>
      </c>
      <c r="J41" s="41">
        <v>1</v>
      </c>
      <c r="K41" s="41" t="s">
        <v>449</v>
      </c>
      <c r="L41" s="42">
        <v>0.9</v>
      </c>
    </row>
    <row r="42" spans="1:12" x14ac:dyDescent="0.25">
      <c r="A42" s="41" t="s">
        <v>573</v>
      </c>
      <c r="B42" s="40">
        <v>0.3</v>
      </c>
      <c r="C42" s="40" t="s">
        <v>58</v>
      </c>
      <c r="D42" s="40">
        <v>1</v>
      </c>
      <c r="E42" s="40">
        <v>2</v>
      </c>
      <c r="F42" s="43">
        <v>0.65</v>
      </c>
      <c r="G42" s="40">
        <v>10</v>
      </c>
      <c r="H42" s="44">
        <f t="shared" si="27"/>
        <v>2.6</v>
      </c>
      <c r="I42" s="49">
        <f t="shared" si="28"/>
        <v>40</v>
      </c>
      <c r="J42" s="41">
        <v>0.75</v>
      </c>
      <c r="K42" s="41" t="s">
        <v>449</v>
      </c>
      <c r="L42" s="42">
        <v>0.5</v>
      </c>
    </row>
    <row r="43" spans="1:12" x14ac:dyDescent="0.25">
      <c r="A43" s="41" t="s">
        <v>585</v>
      </c>
      <c r="B43" s="40">
        <v>0.3</v>
      </c>
      <c r="C43" s="40" t="s">
        <v>58</v>
      </c>
      <c r="D43" s="40">
        <v>1</v>
      </c>
      <c r="E43" s="40">
        <v>2</v>
      </c>
      <c r="F43" s="43">
        <v>0.25</v>
      </c>
      <c r="G43" s="40">
        <v>10</v>
      </c>
      <c r="H43" s="44">
        <f t="shared" si="27"/>
        <v>1</v>
      </c>
      <c r="I43" s="49">
        <f t="shared" si="28"/>
        <v>40</v>
      </c>
      <c r="J43" s="41">
        <v>0.75</v>
      </c>
      <c r="K43" s="41" t="s">
        <v>449</v>
      </c>
      <c r="L43" s="42">
        <v>0.9</v>
      </c>
    </row>
    <row r="44" spans="1:12" x14ac:dyDescent="0.25">
      <c r="A44" s="41" t="s">
        <v>59</v>
      </c>
      <c r="B44" s="40">
        <v>0.5</v>
      </c>
      <c r="C44" s="40" t="s">
        <v>58</v>
      </c>
      <c r="D44" s="40">
        <v>1</v>
      </c>
      <c r="E44" s="40">
        <v>2</v>
      </c>
      <c r="F44" s="43">
        <v>0.6</v>
      </c>
      <c r="G44" s="40">
        <v>12</v>
      </c>
      <c r="H44" s="44">
        <f t="shared" si="25"/>
        <v>2.4</v>
      </c>
      <c r="I44" s="49">
        <f t="shared" si="26"/>
        <v>48</v>
      </c>
      <c r="J44" s="41">
        <v>0</v>
      </c>
      <c r="K44" s="41" t="s">
        <v>148</v>
      </c>
      <c r="L44" s="42"/>
    </row>
    <row r="45" spans="1:12" x14ac:dyDescent="0.25">
      <c r="A45" s="41" t="s">
        <v>57</v>
      </c>
      <c r="B45" s="40">
        <v>0.5</v>
      </c>
      <c r="C45" s="40" t="s">
        <v>58</v>
      </c>
      <c r="D45" s="40">
        <v>1</v>
      </c>
      <c r="E45" s="40">
        <v>2</v>
      </c>
      <c r="F45" s="43">
        <v>0.6</v>
      </c>
      <c r="G45" s="40">
        <v>12</v>
      </c>
      <c r="H45" s="44">
        <f t="shared" si="25"/>
        <v>2.4</v>
      </c>
      <c r="I45" s="49">
        <f t="shared" si="26"/>
        <v>48</v>
      </c>
      <c r="J45" s="41">
        <v>1</v>
      </c>
      <c r="K45" s="41" t="s">
        <v>148</v>
      </c>
      <c r="L45" s="42">
        <v>0.9</v>
      </c>
    </row>
    <row r="46" spans="1:12" x14ac:dyDescent="0.25">
      <c r="A46" s="41" t="s">
        <v>586</v>
      </c>
      <c r="B46" s="40">
        <v>0.5</v>
      </c>
      <c r="C46" s="40" t="s">
        <v>58</v>
      </c>
      <c r="D46" s="40">
        <v>1</v>
      </c>
      <c r="E46" s="40">
        <v>4</v>
      </c>
      <c r="F46" s="43">
        <v>0.25</v>
      </c>
      <c r="G46" s="40">
        <v>12</v>
      </c>
      <c r="H46" s="44">
        <f t="shared" ref="H46:H52" si="29">(G$33/E46)*F46</f>
        <v>0.5</v>
      </c>
      <c r="I46" s="49">
        <f t="shared" ref="I46:I52" si="30">MAX((G$33/E46)*G46-H46*I$33,0)</f>
        <v>24</v>
      </c>
      <c r="J46" s="41">
        <v>0.75</v>
      </c>
      <c r="K46" s="41" t="s">
        <v>449</v>
      </c>
      <c r="L46" s="42">
        <v>0.9</v>
      </c>
    </row>
    <row r="47" spans="1:12" x14ac:dyDescent="0.25">
      <c r="A47" s="41" t="s">
        <v>576</v>
      </c>
      <c r="B47" s="40">
        <v>0.8</v>
      </c>
      <c r="C47" s="40" t="s">
        <v>58</v>
      </c>
      <c r="D47" s="40">
        <v>1</v>
      </c>
      <c r="E47" s="40">
        <v>3</v>
      </c>
      <c r="F47" s="43">
        <v>0.4</v>
      </c>
      <c r="G47" s="40">
        <v>20</v>
      </c>
      <c r="H47" s="44">
        <f t="shared" si="29"/>
        <v>1.0666666666666667</v>
      </c>
      <c r="I47" s="49">
        <f t="shared" si="30"/>
        <v>53.333333333333329</v>
      </c>
      <c r="J47" s="41">
        <v>1</v>
      </c>
      <c r="K47" s="41" t="s">
        <v>449</v>
      </c>
      <c r="L47" s="42">
        <v>0.9</v>
      </c>
    </row>
    <row r="48" spans="1:12" hidden="1" x14ac:dyDescent="0.25">
      <c r="A48" s="41" t="s">
        <v>548</v>
      </c>
      <c r="B48" s="40">
        <v>1</v>
      </c>
      <c r="C48" s="36" t="s">
        <v>62</v>
      </c>
      <c r="D48" s="36">
        <v>1</v>
      </c>
      <c r="E48" s="36">
        <v>4</v>
      </c>
      <c r="F48" s="37">
        <v>0.35</v>
      </c>
      <c r="G48" s="36">
        <v>24</v>
      </c>
      <c r="H48" s="38">
        <f t="shared" si="29"/>
        <v>0.7</v>
      </c>
      <c r="I48" s="39">
        <f t="shared" si="30"/>
        <v>48</v>
      </c>
      <c r="J48" s="41">
        <v>0.75</v>
      </c>
      <c r="K48" s="41" t="s">
        <v>547</v>
      </c>
      <c r="L48" s="42"/>
    </row>
    <row r="49" spans="1:12" hidden="1" x14ac:dyDescent="0.25">
      <c r="A49" s="41" t="s">
        <v>549</v>
      </c>
      <c r="B49" s="40">
        <v>1</v>
      </c>
      <c r="C49" s="36" t="s">
        <v>62</v>
      </c>
      <c r="D49" s="36">
        <v>1</v>
      </c>
      <c r="E49" s="36">
        <v>4</v>
      </c>
      <c r="F49" s="37">
        <v>0.35</v>
      </c>
      <c r="G49" s="36">
        <v>24</v>
      </c>
      <c r="H49" s="38">
        <f t="shared" si="29"/>
        <v>0.7</v>
      </c>
      <c r="I49" s="39">
        <f t="shared" si="30"/>
        <v>48</v>
      </c>
      <c r="J49" s="41">
        <v>0.75</v>
      </c>
      <c r="K49" s="41" t="s">
        <v>547</v>
      </c>
      <c r="L49" s="42"/>
    </row>
    <row r="50" spans="1:12" hidden="1" x14ac:dyDescent="0.25">
      <c r="A50" s="41" t="s">
        <v>550</v>
      </c>
      <c r="B50" s="40">
        <v>1</v>
      </c>
      <c r="C50" s="36" t="s">
        <v>62</v>
      </c>
      <c r="D50" s="36">
        <v>1</v>
      </c>
      <c r="E50" s="36">
        <v>4</v>
      </c>
      <c r="F50" s="37">
        <v>0.35</v>
      </c>
      <c r="G50" s="36">
        <v>24</v>
      </c>
      <c r="H50" s="38">
        <f t="shared" si="29"/>
        <v>0.7</v>
      </c>
      <c r="I50" s="39">
        <f t="shared" si="30"/>
        <v>48</v>
      </c>
      <c r="J50" s="41">
        <v>0.75</v>
      </c>
      <c r="K50" s="41" t="s">
        <v>547</v>
      </c>
      <c r="L50" s="42"/>
    </row>
    <row r="51" spans="1:12" x14ac:dyDescent="0.25">
      <c r="A51" s="41" t="s">
        <v>554</v>
      </c>
      <c r="B51" s="40">
        <v>2</v>
      </c>
      <c r="C51" s="36" t="s">
        <v>58</v>
      </c>
      <c r="D51" s="36">
        <v>2</v>
      </c>
      <c r="E51" s="36">
        <v>1</v>
      </c>
      <c r="F51" s="37">
        <v>0.1</v>
      </c>
      <c r="G51" s="36">
        <v>6</v>
      </c>
      <c r="H51" s="38">
        <f t="shared" si="29"/>
        <v>0.8</v>
      </c>
      <c r="I51" s="39">
        <f t="shared" si="30"/>
        <v>48</v>
      </c>
      <c r="J51" s="41">
        <v>0.75</v>
      </c>
      <c r="K51" s="42" t="s">
        <v>449</v>
      </c>
      <c r="L51" s="42">
        <v>0.9</v>
      </c>
    </row>
    <row r="52" spans="1:12" x14ac:dyDescent="0.25">
      <c r="A52" s="41" t="s">
        <v>582</v>
      </c>
      <c r="B52" s="40">
        <v>2</v>
      </c>
      <c r="C52" s="36" t="s">
        <v>62</v>
      </c>
      <c r="D52" s="36">
        <v>2</v>
      </c>
      <c r="E52" s="36">
        <v>1</v>
      </c>
      <c r="F52" s="37">
        <v>0.35</v>
      </c>
      <c r="G52" s="36">
        <v>24</v>
      </c>
      <c r="H52" s="38">
        <f t="shared" si="29"/>
        <v>2.8</v>
      </c>
      <c r="I52" s="39">
        <f t="shared" si="30"/>
        <v>192</v>
      </c>
      <c r="J52" s="41">
        <v>0.75</v>
      </c>
      <c r="K52" s="41" t="s">
        <v>449</v>
      </c>
      <c r="L52" s="42">
        <v>0.5</v>
      </c>
    </row>
    <row r="53" spans="1:12" x14ac:dyDescent="0.25">
      <c r="A53" s="41" t="s">
        <v>61</v>
      </c>
      <c r="B53" s="40">
        <v>5</v>
      </c>
      <c r="C53" s="40" t="s">
        <v>62</v>
      </c>
      <c r="D53" s="40">
        <v>2</v>
      </c>
      <c r="E53" s="40">
        <v>2</v>
      </c>
      <c r="F53" s="43">
        <v>0.35</v>
      </c>
      <c r="G53" s="40">
        <v>18</v>
      </c>
      <c r="H53" s="44">
        <f t="shared" si="25"/>
        <v>1.4</v>
      </c>
      <c r="I53" s="49">
        <f t="shared" si="26"/>
        <v>72</v>
      </c>
      <c r="J53" s="41">
        <v>0.75</v>
      </c>
      <c r="K53" s="41" t="s">
        <v>148</v>
      </c>
      <c r="L53" s="42"/>
    </row>
    <row r="54" spans="1:12" x14ac:dyDescent="0.25">
      <c r="A54" s="41" t="s">
        <v>577</v>
      </c>
      <c r="B54" s="40">
        <v>6</v>
      </c>
      <c r="C54" s="40" t="s">
        <v>62</v>
      </c>
      <c r="D54" s="40">
        <v>2</v>
      </c>
      <c r="E54" s="40">
        <v>3</v>
      </c>
      <c r="F54" s="43">
        <v>0.5</v>
      </c>
      <c r="G54" s="40">
        <v>20</v>
      </c>
      <c r="H54" s="44">
        <f>(G$33/E54)*F54</f>
        <v>1.3333333333333333</v>
      </c>
      <c r="I54" s="49">
        <f>MAX((G$33/E54)*G54-H54*I$33,0)</f>
        <v>53.333333333333329</v>
      </c>
      <c r="J54" s="41">
        <v>0.25</v>
      </c>
      <c r="K54" s="41" t="s">
        <v>449</v>
      </c>
      <c r="L54" s="42">
        <v>0.75</v>
      </c>
    </row>
    <row r="55" spans="1:12" x14ac:dyDescent="0.25">
      <c r="A55" s="41" t="s">
        <v>578</v>
      </c>
      <c r="B55" s="40">
        <v>10</v>
      </c>
      <c r="C55" s="40" t="s">
        <v>62</v>
      </c>
      <c r="D55" s="40">
        <v>2</v>
      </c>
      <c r="E55" s="40">
        <v>6</v>
      </c>
      <c r="F55" s="43">
        <v>0.5</v>
      </c>
      <c r="G55" s="40">
        <v>35</v>
      </c>
      <c r="H55" s="44">
        <f>(G$33/E55)*F55</f>
        <v>0.66666666666666663</v>
      </c>
      <c r="I55" s="49">
        <f>MAX((G$33/E55)*G55-H55*I$33,0)</f>
        <v>46.666666666666664</v>
      </c>
      <c r="J55" s="41">
        <v>0.25</v>
      </c>
      <c r="K55" s="41" t="s">
        <v>449</v>
      </c>
      <c r="L55" s="42">
        <v>0.75</v>
      </c>
    </row>
    <row r="56" spans="1:12" hidden="1" x14ac:dyDescent="0.25">
      <c r="A56" s="42" t="s">
        <v>206</v>
      </c>
      <c r="B56" s="36">
        <v>10</v>
      </c>
      <c r="C56" s="36" t="s">
        <v>62</v>
      </c>
      <c r="D56" s="36">
        <v>2</v>
      </c>
      <c r="E56" s="36">
        <v>1</v>
      </c>
      <c r="F56" s="37">
        <v>0.1</v>
      </c>
      <c r="G56" s="36">
        <v>20</v>
      </c>
      <c r="H56" s="38">
        <f t="shared" si="25"/>
        <v>0.8</v>
      </c>
      <c r="I56" s="39">
        <f t="shared" si="26"/>
        <v>160</v>
      </c>
      <c r="J56" s="41">
        <v>0.75</v>
      </c>
      <c r="K56" s="42" t="s">
        <v>205</v>
      </c>
      <c r="L56" s="42"/>
    </row>
    <row r="57" spans="1:12" x14ac:dyDescent="0.25">
      <c r="A57" s="42" t="s">
        <v>568</v>
      </c>
      <c r="B57" s="36">
        <v>20</v>
      </c>
      <c r="C57" s="36" t="s">
        <v>62</v>
      </c>
      <c r="D57" s="36">
        <v>2</v>
      </c>
      <c r="E57" s="36">
        <v>2</v>
      </c>
      <c r="F57" s="37">
        <v>0.35</v>
      </c>
      <c r="G57" s="36">
        <v>40</v>
      </c>
      <c r="H57" s="38">
        <f>(G$33/E57)*F57</f>
        <v>1.4</v>
      </c>
      <c r="I57" s="39">
        <f>MAX((G$33/E57)*G57-H57*I$33,0)</f>
        <v>160</v>
      </c>
      <c r="J57" s="41">
        <v>0.75</v>
      </c>
      <c r="K57" s="42" t="s">
        <v>535</v>
      </c>
      <c r="L57" s="42"/>
    </row>
    <row r="58" spans="1:12" hidden="1" x14ac:dyDescent="0.25">
      <c r="A58" s="42" t="s">
        <v>218</v>
      </c>
      <c r="B58" s="36">
        <v>30</v>
      </c>
      <c r="C58" s="36" t="s">
        <v>62</v>
      </c>
      <c r="D58" s="36">
        <v>2</v>
      </c>
      <c r="E58" s="36">
        <v>1</v>
      </c>
      <c r="F58" s="37">
        <v>0.1</v>
      </c>
      <c r="G58" s="36">
        <v>60</v>
      </c>
      <c r="H58" s="38">
        <f t="shared" si="25"/>
        <v>0.8</v>
      </c>
      <c r="I58" s="39">
        <f t="shared" si="26"/>
        <v>480</v>
      </c>
      <c r="J58" s="42">
        <v>0</v>
      </c>
      <c r="K58" s="42" t="s">
        <v>205</v>
      </c>
      <c r="L58" s="42"/>
    </row>
    <row r="59" spans="1:12" hidden="1" x14ac:dyDescent="0.25">
      <c r="A59" t="s">
        <v>210</v>
      </c>
      <c r="B59" s="36">
        <v>30</v>
      </c>
      <c r="C59" s="36" t="s">
        <v>62</v>
      </c>
      <c r="D59" s="36">
        <v>2</v>
      </c>
      <c r="E59" s="36">
        <v>1</v>
      </c>
      <c r="F59" s="37">
        <v>0.1</v>
      </c>
      <c r="G59" s="36">
        <v>60</v>
      </c>
      <c r="H59" s="38">
        <f t="shared" si="25"/>
        <v>0.8</v>
      </c>
      <c r="I59" s="39">
        <f t="shared" si="26"/>
        <v>480</v>
      </c>
      <c r="J59" s="42">
        <v>0</v>
      </c>
      <c r="K59" s="42" t="s">
        <v>205</v>
      </c>
      <c r="L59" s="42"/>
    </row>
    <row r="60" spans="1:12" hidden="1" x14ac:dyDescent="0.25">
      <c r="A60" t="s">
        <v>209</v>
      </c>
      <c r="B60" s="36">
        <v>50</v>
      </c>
      <c r="C60" s="36" t="s">
        <v>62</v>
      </c>
      <c r="D60" s="36">
        <v>2</v>
      </c>
      <c r="E60" s="36">
        <v>1</v>
      </c>
      <c r="F60" s="37">
        <v>0.1</v>
      </c>
      <c r="G60" s="36">
        <v>100</v>
      </c>
      <c r="H60" s="38">
        <f t="shared" si="25"/>
        <v>0.8</v>
      </c>
      <c r="I60" s="39">
        <f t="shared" si="26"/>
        <v>800</v>
      </c>
      <c r="J60" s="42">
        <v>0</v>
      </c>
      <c r="K60" s="42" t="s">
        <v>205</v>
      </c>
      <c r="L60" s="42"/>
    </row>
    <row r="61" spans="1:12" x14ac:dyDescent="0.25">
      <c r="A61" t="s">
        <v>553</v>
      </c>
      <c r="B61" s="36">
        <v>50</v>
      </c>
      <c r="C61" s="36" t="s">
        <v>58</v>
      </c>
      <c r="D61" s="36">
        <v>2</v>
      </c>
      <c r="E61" s="36">
        <v>2</v>
      </c>
      <c r="F61" s="37">
        <v>0.1</v>
      </c>
      <c r="G61" s="36">
        <v>6</v>
      </c>
      <c r="H61" s="38">
        <f>(G$33/E61)*F61</f>
        <v>0.4</v>
      </c>
      <c r="I61" s="39">
        <f>MAX((G$33/E61)*G61-H61*I$33,0)</f>
        <v>24</v>
      </c>
      <c r="J61" s="41">
        <v>0.75</v>
      </c>
      <c r="K61" s="42" t="s">
        <v>449</v>
      </c>
      <c r="L61" s="42">
        <v>0.9</v>
      </c>
    </row>
    <row r="62" spans="1:12" x14ac:dyDescent="0.25">
      <c r="A62" t="s">
        <v>580</v>
      </c>
      <c r="B62" s="36">
        <v>85</v>
      </c>
      <c r="C62" s="36" t="s">
        <v>62</v>
      </c>
      <c r="D62" s="36">
        <v>3</v>
      </c>
      <c r="E62" s="36">
        <v>2</v>
      </c>
      <c r="F62" s="37">
        <v>0.35</v>
      </c>
      <c r="G62" s="36">
        <v>24</v>
      </c>
      <c r="H62" s="38">
        <f>(G$33/E62)*F62</f>
        <v>1.4</v>
      </c>
      <c r="I62" s="39">
        <f>MAX((G$33/E62)*G62-H62*I$33,0)</f>
        <v>96</v>
      </c>
      <c r="J62" s="41">
        <v>0.75</v>
      </c>
      <c r="K62" s="41" t="s">
        <v>449</v>
      </c>
      <c r="L62" s="42">
        <v>0.5</v>
      </c>
    </row>
    <row r="63" spans="1:12" x14ac:dyDescent="0.25">
      <c r="A63" t="s">
        <v>579</v>
      </c>
      <c r="B63" s="36">
        <v>100</v>
      </c>
      <c r="C63" s="36" t="s">
        <v>62</v>
      </c>
      <c r="D63" s="36">
        <v>3</v>
      </c>
      <c r="E63" s="36">
        <v>8</v>
      </c>
      <c r="F63" s="37">
        <v>0.5</v>
      </c>
      <c r="G63" s="36">
        <v>45</v>
      </c>
      <c r="H63" s="38">
        <f>(G$33/E63)*F63</f>
        <v>0.5</v>
      </c>
      <c r="I63" s="39">
        <f>MAX((G$33/E63)*G63-H63*I$33,0)</f>
        <v>45</v>
      </c>
      <c r="J63" s="41">
        <v>0.25</v>
      </c>
      <c r="K63" s="41" t="s">
        <v>449</v>
      </c>
      <c r="L63" s="42">
        <v>0.75</v>
      </c>
    </row>
    <row r="64" spans="1:12" x14ac:dyDescent="0.25">
      <c r="A64" t="s">
        <v>581</v>
      </c>
      <c r="B64" s="36">
        <v>500</v>
      </c>
      <c r="C64" s="36" t="s">
        <v>62</v>
      </c>
      <c r="D64" s="36">
        <v>3</v>
      </c>
      <c r="E64" s="36">
        <v>3</v>
      </c>
      <c r="F64" s="37">
        <v>0.6</v>
      </c>
      <c r="G64" s="36">
        <v>28</v>
      </c>
      <c r="H64" s="38">
        <f>(G$33/E64)*F64</f>
        <v>1.5999999999999999</v>
      </c>
      <c r="I64" s="39">
        <f>MAX((G$33/E64)*G64-H64*I$33,0)</f>
        <v>74.666666666666657</v>
      </c>
      <c r="J64" s="41">
        <v>0.75</v>
      </c>
      <c r="K64" s="41" t="s">
        <v>449</v>
      </c>
      <c r="L64" s="42">
        <v>0.5</v>
      </c>
    </row>
    <row r="65" spans="1:12" hidden="1" x14ac:dyDescent="0.25">
      <c r="A65" t="s">
        <v>208</v>
      </c>
      <c r="B65" s="36">
        <v>1000</v>
      </c>
      <c r="C65" s="36" t="s">
        <v>62</v>
      </c>
      <c r="D65" s="36">
        <v>3</v>
      </c>
      <c r="E65" s="36">
        <v>1</v>
      </c>
      <c r="F65" s="37">
        <v>0.1</v>
      </c>
      <c r="G65" s="36">
        <v>1000</v>
      </c>
      <c r="H65" s="38">
        <f t="shared" si="25"/>
        <v>0.8</v>
      </c>
      <c r="I65" s="39">
        <f t="shared" si="26"/>
        <v>8000</v>
      </c>
      <c r="J65" s="42">
        <v>0</v>
      </c>
      <c r="K65" s="42" t="s">
        <v>205</v>
      </c>
      <c r="L65" s="42"/>
    </row>
    <row r="66" spans="1:12" x14ac:dyDescent="0.25">
      <c r="A66" s="41" t="s">
        <v>64</v>
      </c>
      <c r="B66" s="40">
        <v>2000</v>
      </c>
      <c r="C66" s="40" t="s">
        <v>58</v>
      </c>
      <c r="D66" s="40">
        <v>3</v>
      </c>
      <c r="E66" s="40">
        <v>2</v>
      </c>
      <c r="F66" s="43">
        <v>0.35</v>
      </c>
      <c r="G66" s="40">
        <v>12</v>
      </c>
      <c r="H66" s="44">
        <f t="shared" si="25"/>
        <v>1.4</v>
      </c>
      <c r="I66" s="49">
        <f t="shared" si="26"/>
        <v>48</v>
      </c>
      <c r="J66" s="41">
        <v>0.75</v>
      </c>
      <c r="K66" s="41" t="s">
        <v>148</v>
      </c>
      <c r="L66" s="42"/>
    </row>
    <row r="67" spans="1:12" x14ac:dyDescent="0.25">
      <c r="A67" s="41" t="s">
        <v>66</v>
      </c>
      <c r="B67" s="40">
        <v>2000</v>
      </c>
      <c r="C67" s="40" t="s">
        <v>62</v>
      </c>
      <c r="D67" s="40">
        <v>3</v>
      </c>
      <c r="E67" s="40">
        <v>1</v>
      </c>
      <c r="F67" s="43">
        <v>0.35</v>
      </c>
      <c r="G67" s="40">
        <v>24</v>
      </c>
      <c r="H67" s="44">
        <f t="shared" si="25"/>
        <v>2.8</v>
      </c>
      <c r="I67" s="49">
        <f t="shared" si="26"/>
        <v>192</v>
      </c>
      <c r="J67" s="41">
        <v>0.75</v>
      </c>
      <c r="K67" s="41" t="s">
        <v>148</v>
      </c>
      <c r="L67" s="42">
        <v>0.9</v>
      </c>
    </row>
    <row r="68" spans="1:12" x14ac:dyDescent="0.25">
      <c r="A68" s="41" t="s">
        <v>552</v>
      </c>
      <c r="B68" s="40">
        <v>2000</v>
      </c>
      <c r="C68" s="40" t="s">
        <v>58</v>
      </c>
      <c r="D68" s="40">
        <v>3</v>
      </c>
      <c r="E68" s="40">
        <v>2</v>
      </c>
      <c r="F68" s="43">
        <v>0.35</v>
      </c>
      <c r="G68" s="40">
        <v>10</v>
      </c>
      <c r="H68" s="44">
        <f>(G$33/E68)*F68</f>
        <v>1.4</v>
      </c>
      <c r="I68" s="49">
        <f>MAX((G$33/E68)*G68-H68*I$33,0)</f>
        <v>40</v>
      </c>
      <c r="J68" s="41">
        <v>0.75</v>
      </c>
      <c r="K68" s="41" t="s">
        <v>535</v>
      </c>
      <c r="L68" s="42">
        <v>0.9</v>
      </c>
    </row>
    <row r="69" spans="1:12" hidden="1" x14ac:dyDescent="0.25">
      <c r="A69" t="s">
        <v>229</v>
      </c>
      <c r="B69" s="36">
        <v>2000</v>
      </c>
      <c r="C69" s="36" t="s">
        <v>58</v>
      </c>
      <c r="D69" s="36">
        <v>3</v>
      </c>
      <c r="E69" s="36">
        <v>1</v>
      </c>
      <c r="F69" s="37">
        <v>0.35</v>
      </c>
      <c r="G69" s="36">
        <v>24</v>
      </c>
      <c r="H69" s="38">
        <f>(G$33/E69)*F69</f>
        <v>2.8</v>
      </c>
      <c r="I69" s="39">
        <f>MAX((G$33/E69)*G69-H69*I$33,0)</f>
        <v>192</v>
      </c>
      <c r="J69" s="41">
        <v>0.75</v>
      </c>
      <c r="K69" s="42" t="s">
        <v>205</v>
      </c>
      <c r="L69" s="42"/>
    </row>
    <row r="70" spans="1:12" hidden="1" x14ac:dyDescent="0.25">
      <c r="A70" s="41" t="s">
        <v>236</v>
      </c>
      <c r="B70" s="40">
        <v>15000</v>
      </c>
      <c r="C70" s="36" t="s">
        <v>234</v>
      </c>
      <c r="D70" s="36">
        <v>4</v>
      </c>
      <c r="E70" s="36">
        <v>3</v>
      </c>
      <c r="F70" s="37">
        <v>0.15</v>
      </c>
      <c r="G70" s="36">
        <v>20</v>
      </c>
      <c r="H70" s="38">
        <f t="shared" si="25"/>
        <v>0.39999999999999997</v>
      </c>
      <c r="I70" s="39">
        <f t="shared" si="26"/>
        <v>53.333333333333329</v>
      </c>
      <c r="J70" s="41">
        <v>0.75</v>
      </c>
      <c r="K70" s="42" t="s">
        <v>205</v>
      </c>
      <c r="L70" s="42"/>
    </row>
    <row r="71" spans="1:12" hidden="1" x14ac:dyDescent="0.25">
      <c r="A71" s="41" t="s">
        <v>235</v>
      </c>
      <c r="B71" s="40">
        <v>15000</v>
      </c>
      <c r="C71" s="36" t="s">
        <v>58</v>
      </c>
      <c r="D71" s="36">
        <v>4</v>
      </c>
      <c r="E71" s="36">
        <v>3</v>
      </c>
      <c r="F71" s="37">
        <v>0.15</v>
      </c>
      <c r="G71" s="36">
        <v>20</v>
      </c>
      <c r="H71" s="38">
        <f t="shared" si="25"/>
        <v>0.39999999999999997</v>
      </c>
      <c r="I71" s="39">
        <f t="shared" si="26"/>
        <v>53.333333333333329</v>
      </c>
      <c r="J71" s="41">
        <v>0.75</v>
      </c>
      <c r="K71" s="42" t="s">
        <v>205</v>
      </c>
      <c r="L71" s="42"/>
    </row>
    <row r="72" spans="1:12" hidden="1" x14ac:dyDescent="0.25">
      <c r="A72" s="42" t="s">
        <v>232</v>
      </c>
      <c r="B72" s="36">
        <v>15000</v>
      </c>
      <c r="C72" s="36" t="s">
        <v>58</v>
      </c>
      <c r="D72" s="36">
        <v>4</v>
      </c>
      <c r="E72" s="36">
        <v>3</v>
      </c>
      <c r="F72" s="37">
        <v>0.15</v>
      </c>
      <c r="G72" s="36">
        <v>20</v>
      </c>
      <c r="H72" s="38">
        <f t="shared" si="25"/>
        <v>0.39999999999999997</v>
      </c>
      <c r="I72" s="39">
        <f t="shared" si="26"/>
        <v>53.333333333333329</v>
      </c>
      <c r="J72" s="41">
        <v>0.75</v>
      </c>
      <c r="K72" s="42" t="s">
        <v>205</v>
      </c>
      <c r="L72" s="42"/>
    </row>
    <row r="73" spans="1:12" x14ac:dyDescent="0.25">
      <c r="A73" s="41" t="s">
        <v>68</v>
      </c>
      <c r="B73" s="40">
        <v>15000</v>
      </c>
      <c r="C73" s="40" t="s">
        <v>58</v>
      </c>
      <c r="D73" s="40">
        <v>4</v>
      </c>
      <c r="E73" s="40">
        <v>3</v>
      </c>
      <c r="F73" s="43">
        <v>0.15</v>
      </c>
      <c r="G73" s="40">
        <v>20</v>
      </c>
      <c r="H73" s="44">
        <f t="shared" si="25"/>
        <v>0.39999999999999997</v>
      </c>
      <c r="I73" s="49">
        <f t="shared" si="26"/>
        <v>53.333333333333329</v>
      </c>
      <c r="J73" s="41">
        <v>0.75</v>
      </c>
      <c r="K73" s="41" t="s">
        <v>148</v>
      </c>
      <c r="L73" s="42"/>
    </row>
    <row r="74" spans="1:12" x14ac:dyDescent="0.25">
      <c r="A74" s="41" t="s">
        <v>70</v>
      </c>
      <c r="B74" s="40">
        <v>15000</v>
      </c>
      <c r="C74" s="40" t="s">
        <v>62</v>
      </c>
      <c r="D74" s="40">
        <v>4</v>
      </c>
      <c r="E74" s="40">
        <v>2</v>
      </c>
      <c r="F74" s="43">
        <v>0.35</v>
      </c>
      <c r="G74" s="40">
        <v>24</v>
      </c>
      <c r="H74" s="44">
        <f t="shared" si="25"/>
        <v>1.4</v>
      </c>
      <c r="I74" s="49">
        <f t="shared" si="26"/>
        <v>96</v>
      </c>
      <c r="J74" s="41">
        <v>0.75</v>
      </c>
      <c r="K74" s="41" t="s">
        <v>148</v>
      </c>
      <c r="L74" s="42">
        <v>0.9</v>
      </c>
    </row>
    <row r="75" spans="1:12" x14ac:dyDescent="0.25">
      <c r="A75" s="41" t="s">
        <v>551</v>
      </c>
      <c r="B75" s="40">
        <v>15000</v>
      </c>
      <c r="C75" s="40" t="s">
        <v>58</v>
      </c>
      <c r="D75" s="40">
        <v>4</v>
      </c>
      <c r="E75" s="40">
        <v>3</v>
      </c>
      <c r="F75" s="43">
        <v>0.15</v>
      </c>
      <c r="G75" s="40">
        <v>20</v>
      </c>
      <c r="H75" s="44">
        <f>(G$33/E75)*F75</f>
        <v>0.39999999999999997</v>
      </c>
      <c r="I75" s="49">
        <f>MAX((G$33/E75)*G75-H75*I$33,0)</f>
        <v>53.333333333333329</v>
      </c>
      <c r="J75" s="41">
        <v>0.75</v>
      </c>
      <c r="K75" s="41" t="s">
        <v>535</v>
      </c>
      <c r="L75" s="42">
        <v>0.9</v>
      </c>
    </row>
    <row r="76" spans="1:12" x14ac:dyDescent="0.25">
      <c r="A76" s="41" t="s">
        <v>72</v>
      </c>
      <c r="B76" s="40">
        <v>100000</v>
      </c>
      <c r="C76" s="40" t="s">
        <v>58</v>
      </c>
      <c r="D76" s="40">
        <v>5</v>
      </c>
      <c r="E76" s="40">
        <v>2</v>
      </c>
      <c r="F76" s="43">
        <v>0.1</v>
      </c>
      <c r="G76" s="40">
        <v>20</v>
      </c>
      <c r="H76" s="44">
        <f t="shared" si="25"/>
        <v>0.4</v>
      </c>
      <c r="I76" s="49">
        <f t="shared" si="26"/>
        <v>80</v>
      </c>
      <c r="J76" s="41">
        <v>0.75</v>
      </c>
      <c r="K76" s="41" t="s">
        <v>148</v>
      </c>
      <c r="L76" s="42">
        <v>0.9</v>
      </c>
    </row>
    <row r="77" spans="1:12" x14ac:dyDescent="0.25">
      <c r="A77" s="41" t="s">
        <v>74</v>
      </c>
      <c r="B77" s="40">
        <v>100000</v>
      </c>
      <c r="C77" s="40" t="s">
        <v>62</v>
      </c>
      <c r="D77" s="40">
        <v>5</v>
      </c>
      <c r="E77" s="40">
        <v>4</v>
      </c>
      <c r="F77" s="43">
        <v>0.35</v>
      </c>
      <c r="G77" s="40">
        <v>24</v>
      </c>
      <c r="H77" s="44">
        <f t="shared" si="25"/>
        <v>0.7</v>
      </c>
      <c r="I77" s="49">
        <f t="shared" si="26"/>
        <v>48</v>
      </c>
      <c r="J77" s="41">
        <v>0.75</v>
      </c>
      <c r="K77" s="41" t="s">
        <v>148</v>
      </c>
      <c r="L77" s="42">
        <v>0.9</v>
      </c>
    </row>
    <row r="78" spans="1:12" hidden="1" x14ac:dyDescent="0.25">
      <c r="A78" s="41" t="s">
        <v>556</v>
      </c>
      <c r="B78" s="40">
        <v>100000</v>
      </c>
      <c r="C78" s="40" t="s">
        <v>234</v>
      </c>
      <c r="D78" s="40">
        <v>5</v>
      </c>
      <c r="E78" s="40">
        <v>3</v>
      </c>
      <c r="F78" s="43">
        <v>0.15</v>
      </c>
      <c r="G78" s="40">
        <v>20</v>
      </c>
      <c r="H78" s="44">
        <f>(G$33/E78)*F78</f>
        <v>0.39999999999999997</v>
      </c>
      <c r="I78" s="49">
        <f>MAX((G$33/E78)*G78-H78*I$33,0)</f>
        <v>53.333333333333329</v>
      </c>
      <c r="J78" s="41">
        <v>0.75</v>
      </c>
      <c r="K78" s="41" t="s">
        <v>205</v>
      </c>
      <c r="L78" s="42"/>
    </row>
    <row r="79" spans="1:12" hidden="1" x14ac:dyDescent="0.25">
      <c r="A79" s="41" t="s">
        <v>557</v>
      </c>
      <c r="B79" s="40">
        <v>100000</v>
      </c>
      <c r="C79" s="40" t="s">
        <v>58</v>
      </c>
      <c r="D79" s="40">
        <v>5</v>
      </c>
      <c r="E79" s="40">
        <v>2</v>
      </c>
      <c r="F79" s="43">
        <v>0.1</v>
      </c>
      <c r="G79" s="40">
        <v>20</v>
      </c>
      <c r="H79" s="44">
        <f>(G$33/E79)*F79</f>
        <v>0.4</v>
      </c>
      <c r="I79" s="49">
        <f>MAX((G$33/E79)*G79-H79*I$33,0)</f>
        <v>80</v>
      </c>
      <c r="J79" s="41">
        <v>0.75</v>
      </c>
      <c r="K79" s="41" t="s">
        <v>205</v>
      </c>
      <c r="L79" s="42"/>
    </row>
    <row r="80" spans="1:12" hidden="1" x14ac:dyDescent="0.25">
      <c r="A80" s="42" t="s">
        <v>207</v>
      </c>
      <c r="B80" s="36">
        <v>100000</v>
      </c>
      <c r="C80" s="36" t="s">
        <v>62</v>
      </c>
      <c r="D80" s="36">
        <v>5</v>
      </c>
      <c r="E80" s="36">
        <v>1</v>
      </c>
      <c r="F80" s="37">
        <v>0.02</v>
      </c>
      <c r="G80" s="36">
        <v>40</v>
      </c>
      <c r="H80" s="38">
        <f>(G$33/E80)*F80</f>
        <v>0.16</v>
      </c>
      <c r="I80" s="39">
        <f>MAX((G$33/E80)*G80-H80*I$33,0)</f>
        <v>320</v>
      </c>
      <c r="J80" s="41">
        <v>0.75</v>
      </c>
      <c r="K80" s="42" t="s">
        <v>205</v>
      </c>
      <c r="L80" s="42"/>
    </row>
    <row r="81" spans="1:12" hidden="1" x14ac:dyDescent="0.25">
      <c r="A81" s="41" t="s">
        <v>144</v>
      </c>
      <c r="B81" s="40">
        <v>300000</v>
      </c>
      <c r="C81" s="36" t="s">
        <v>58</v>
      </c>
      <c r="D81" s="36">
        <v>5</v>
      </c>
      <c r="E81" s="36">
        <v>4</v>
      </c>
      <c r="F81" s="37">
        <v>0.35</v>
      </c>
      <c r="G81" s="36">
        <v>18</v>
      </c>
      <c r="H81" s="38">
        <f t="shared" si="25"/>
        <v>0.7</v>
      </c>
      <c r="I81" s="39">
        <f t="shared" si="26"/>
        <v>36</v>
      </c>
      <c r="J81" s="41">
        <v>0.75</v>
      </c>
      <c r="K81" s="41" t="s">
        <v>146</v>
      </c>
      <c r="L81" s="42"/>
    </row>
    <row r="82" spans="1:12" hidden="1" x14ac:dyDescent="0.25">
      <c r="A82" s="41" t="s">
        <v>145</v>
      </c>
      <c r="B82" s="40">
        <v>300000</v>
      </c>
      <c r="C82" s="36" t="s">
        <v>62</v>
      </c>
      <c r="D82" s="36">
        <v>5</v>
      </c>
      <c r="E82" s="36">
        <v>4</v>
      </c>
      <c r="F82" s="37">
        <v>0.35</v>
      </c>
      <c r="G82" s="36">
        <v>22</v>
      </c>
      <c r="H82" s="38">
        <f t="shared" si="25"/>
        <v>0.7</v>
      </c>
      <c r="I82" s="39">
        <f t="shared" si="26"/>
        <v>44</v>
      </c>
      <c r="J82" s="41">
        <v>0.75</v>
      </c>
      <c r="K82" s="41" t="s">
        <v>146</v>
      </c>
      <c r="L82" s="42"/>
    </row>
    <row r="83" spans="1:12" hidden="1" x14ac:dyDescent="0.25">
      <c r="A83" t="s">
        <v>211</v>
      </c>
      <c r="B83" s="36">
        <v>1000000</v>
      </c>
      <c r="C83" s="36" t="s">
        <v>58</v>
      </c>
      <c r="D83" s="36">
        <v>6</v>
      </c>
      <c r="E83" s="36">
        <v>1</v>
      </c>
      <c r="F83" s="37">
        <v>0.1</v>
      </c>
      <c r="G83" s="36">
        <v>100</v>
      </c>
      <c r="H83" s="38">
        <f t="shared" si="25"/>
        <v>0.8</v>
      </c>
      <c r="I83" s="39">
        <f t="shared" si="26"/>
        <v>800</v>
      </c>
      <c r="J83" s="41">
        <v>0.75</v>
      </c>
      <c r="K83" s="42" t="s">
        <v>205</v>
      </c>
      <c r="L83" s="42"/>
    </row>
    <row r="84" spans="1:12" hidden="1" x14ac:dyDescent="0.25">
      <c r="A84" t="s">
        <v>228</v>
      </c>
      <c r="B84" s="36">
        <v>1000000</v>
      </c>
      <c r="C84" s="36" t="s">
        <v>58</v>
      </c>
      <c r="D84" s="36">
        <v>6</v>
      </c>
      <c r="E84" s="36">
        <v>1</v>
      </c>
      <c r="F84" s="37">
        <v>0.01</v>
      </c>
      <c r="G84" s="36">
        <v>400</v>
      </c>
      <c r="H84" s="38">
        <f t="shared" si="25"/>
        <v>0.08</v>
      </c>
      <c r="I84" s="39">
        <f t="shared" si="26"/>
        <v>3200</v>
      </c>
      <c r="J84" s="42">
        <v>0</v>
      </c>
      <c r="K84" s="42" t="s">
        <v>205</v>
      </c>
      <c r="L84" s="42"/>
    </row>
    <row r="85" spans="1:12" hidden="1" x14ac:dyDescent="0.25">
      <c r="A85" t="s">
        <v>560</v>
      </c>
      <c r="B85" s="36">
        <v>1000000</v>
      </c>
      <c r="C85" s="36" t="s">
        <v>62</v>
      </c>
      <c r="D85" s="36">
        <v>6</v>
      </c>
      <c r="E85" s="36">
        <v>4</v>
      </c>
      <c r="F85" s="37">
        <v>0.35</v>
      </c>
      <c r="G85" s="36">
        <v>22</v>
      </c>
      <c r="H85" s="38">
        <f>(G$33/E85)*F85</f>
        <v>0.7</v>
      </c>
      <c r="I85" s="39">
        <f>MAX((G$33/E85)*G85-H85*I$33,0)</f>
        <v>44</v>
      </c>
      <c r="J85" s="41">
        <v>0.75</v>
      </c>
      <c r="K85" s="42" t="s">
        <v>205</v>
      </c>
      <c r="L85" s="42"/>
    </row>
    <row r="86" spans="1:12" hidden="1" x14ac:dyDescent="0.25">
      <c r="A86" t="s">
        <v>212</v>
      </c>
      <c r="B86" s="36">
        <v>1000000</v>
      </c>
      <c r="C86" s="36" t="s">
        <v>62</v>
      </c>
      <c r="D86" s="36">
        <v>6</v>
      </c>
      <c r="E86" s="36">
        <v>4</v>
      </c>
      <c r="F86" s="37">
        <v>0.35</v>
      </c>
      <c r="G86" s="36">
        <v>22</v>
      </c>
      <c r="H86" s="38">
        <f t="shared" si="25"/>
        <v>0.7</v>
      </c>
      <c r="I86" s="39">
        <f t="shared" si="26"/>
        <v>44</v>
      </c>
      <c r="J86" s="41">
        <v>0.75</v>
      </c>
      <c r="K86" s="42" t="s">
        <v>205</v>
      </c>
      <c r="L86" s="42"/>
    </row>
    <row r="87" spans="1:12" hidden="1" x14ac:dyDescent="0.25">
      <c r="A87" t="s">
        <v>225</v>
      </c>
      <c r="B87" s="36">
        <v>1000000</v>
      </c>
      <c r="C87" s="36" t="s">
        <v>62</v>
      </c>
      <c r="D87" s="36">
        <v>6</v>
      </c>
      <c r="E87" s="36">
        <v>1</v>
      </c>
      <c r="F87" s="37">
        <v>0.05</v>
      </c>
      <c r="G87" s="36">
        <v>1000</v>
      </c>
      <c r="H87" s="38">
        <f>(G$33/E87)*F87</f>
        <v>0.4</v>
      </c>
      <c r="I87" s="39">
        <f>MAX((G$33/E87)*G87-H87*I$33,0)</f>
        <v>8000</v>
      </c>
      <c r="J87" s="41">
        <v>0.75</v>
      </c>
      <c r="K87" s="42" t="s">
        <v>205</v>
      </c>
      <c r="L87" s="42"/>
    </row>
    <row r="88" spans="1:12" hidden="1" x14ac:dyDescent="0.25">
      <c r="A88" t="s">
        <v>224</v>
      </c>
      <c r="B88" s="36">
        <v>1000000</v>
      </c>
      <c r="C88" s="36" t="s">
        <v>62</v>
      </c>
      <c r="D88" s="36">
        <v>6</v>
      </c>
      <c r="E88" s="36">
        <v>1</v>
      </c>
      <c r="F88" s="37">
        <v>0.01</v>
      </c>
      <c r="G88" s="36">
        <v>200</v>
      </c>
      <c r="H88" s="38">
        <f t="shared" si="25"/>
        <v>0.08</v>
      </c>
      <c r="I88" s="39">
        <f t="shared" si="26"/>
        <v>1600</v>
      </c>
      <c r="J88" s="41">
        <v>0.75</v>
      </c>
      <c r="K88" s="42" t="s">
        <v>205</v>
      </c>
      <c r="L88" s="42"/>
    </row>
    <row r="89" spans="1:12" hidden="1" x14ac:dyDescent="0.25">
      <c r="A89" s="41" t="s">
        <v>146</v>
      </c>
      <c r="B89" s="40">
        <v>1000000</v>
      </c>
      <c r="C89" s="36" t="s">
        <v>62</v>
      </c>
      <c r="D89" s="36">
        <v>6</v>
      </c>
      <c r="E89" s="36">
        <v>4</v>
      </c>
      <c r="F89" s="37">
        <v>0.35</v>
      </c>
      <c r="G89" s="36">
        <v>22</v>
      </c>
      <c r="H89" s="38">
        <f t="shared" si="25"/>
        <v>0.7</v>
      </c>
      <c r="I89" s="39">
        <f t="shared" si="26"/>
        <v>44</v>
      </c>
      <c r="J89" s="41">
        <v>0.75</v>
      </c>
      <c r="K89" s="41" t="s">
        <v>146</v>
      </c>
      <c r="L89" s="42"/>
    </row>
    <row r="90" spans="1:12" hidden="1" x14ac:dyDescent="0.25">
      <c r="A90" t="s">
        <v>223</v>
      </c>
      <c r="B90" s="36">
        <v>2000000</v>
      </c>
      <c r="C90" s="36" t="s">
        <v>62</v>
      </c>
      <c r="D90" s="36">
        <v>6</v>
      </c>
      <c r="E90" s="36">
        <v>1</v>
      </c>
      <c r="F90" s="37">
        <v>0.01</v>
      </c>
      <c r="G90" s="36">
        <v>400</v>
      </c>
      <c r="H90" s="38">
        <f>(G$33/E90)*F90</f>
        <v>0.08</v>
      </c>
      <c r="I90" s="39">
        <f>MAX((G$33/E90)*G90-H90*I$33,0)</f>
        <v>3200</v>
      </c>
      <c r="J90" s="41">
        <v>0.75</v>
      </c>
      <c r="K90" s="42" t="s">
        <v>205</v>
      </c>
      <c r="L90" s="42"/>
    </row>
    <row r="91" spans="1:12" hidden="1" x14ac:dyDescent="0.25">
      <c r="A91" t="s">
        <v>295</v>
      </c>
      <c r="B91" s="36">
        <v>5000000</v>
      </c>
      <c r="C91" s="36" t="s">
        <v>62</v>
      </c>
      <c r="D91" s="36">
        <v>6</v>
      </c>
      <c r="E91" s="36">
        <v>12</v>
      </c>
      <c r="F91" s="37">
        <v>0.1</v>
      </c>
      <c r="G91" s="36">
        <v>50</v>
      </c>
      <c r="H91" s="38">
        <f>(G$33/E91)*F91</f>
        <v>6.6666666666666666E-2</v>
      </c>
      <c r="I91" s="39">
        <f>MAX((G$33/E91)*G91-H91*I$33,0)</f>
        <v>33.333333333333329</v>
      </c>
      <c r="J91" s="41">
        <v>0.75</v>
      </c>
      <c r="K91" s="42" t="s">
        <v>296</v>
      </c>
      <c r="L91" s="42"/>
    </row>
    <row r="92" spans="1:12" hidden="1" x14ac:dyDescent="0.25">
      <c r="A92" t="s">
        <v>219</v>
      </c>
      <c r="B92" s="36">
        <v>10000000</v>
      </c>
      <c r="C92" s="36" t="s">
        <v>58</v>
      </c>
      <c r="D92" s="36">
        <v>6</v>
      </c>
      <c r="E92" s="36">
        <v>1</v>
      </c>
      <c r="F92" s="37">
        <v>0.01</v>
      </c>
      <c r="G92" s="36">
        <v>2000</v>
      </c>
      <c r="H92" s="38">
        <f t="shared" si="25"/>
        <v>0.08</v>
      </c>
      <c r="I92" s="39">
        <f t="shared" si="26"/>
        <v>16000</v>
      </c>
      <c r="J92" s="42">
        <v>0</v>
      </c>
      <c r="K92" s="42" t="s">
        <v>205</v>
      </c>
      <c r="L92" s="42"/>
    </row>
    <row r="93" spans="1:12" hidden="1" x14ac:dyDescent="0.25">
      <c r="A93" t="s">
        <v>222</v>
      </c>
      <c r="B93" s="36">
        <v>10000000</v>
      </c>
      <c r="C93" s="36" t="s">
        <v>58</v>
      </c>
      <c r="D93" s="36">
        <v>6</v>
      </c>
      <c r="E93" s="36">
        <v>1</v>
      </c>
      <c r="F93" s="37">
        <v>0.01</v>
      </c>
      <c r="G93" s="36">
        <v>2000</v>
      </c>
      <c r="H93" s="38">
        <f t="shared" si="25"/>
        <v>0.08</v>
      </c>
      <c r="I93" s="39">
        <f t="shared" si="26"/>
        <v>16000</v>
      </c>
      <c r="J93" s="41">
        <v>0.75</v>
      </c>
      <c r="K93" s="42" t="s">
        <v>205</v>
      </c>
      <c r="L93" s="42"/>
    </row>
    <row r="94" spans="1:12" hidden="1" x14ac:dyDescent="0.25">
      <c r="A94" t="s">
        <v>221</v>
      </c>
      <c r="B94" s="36">
        <v>10000000</v>
      </c>
      <c r="C94" s="36" t="s">
        <v>58</v>
      </c>
      <c r="D94" s="36">
        <v>6</v>
      </c>
      <c r="E94" s="36">
        <v>1</v>
      </c>
      <c r="F94" s="37">
        <v>0.01</v>
      </c>
      <c r="G94" s="36">
        <v>2000</v>
      </c>
      <c r="H94" s="38">
        <f t="shared" si="25"/>
        <v>0.08</v>
      </c>
      <c r="I94" s="39">
        <f t="shared" si="26"/>
        <v>16000</v>
      </c>
      <c r="J94" s="42">
        <v>0</v>
      </c>
      <c r="K94" s="42" t="s">
        <v>205</v>
      </c>
      <c r="L94" s="42"/>
    </row>
    <row r="95" spans="1:12" hidden="1" x14ac:dyDescent="0.25">
      <c r="A95" t="s">
        <v>555</v>
      </c>
      <c r="B95" s="36">
        <v>10000000</v>
      </c>
      <c r="C95" s="36" t="s">
        <v>58</v>
      </c>
      <c r="D95" s="36">
        <v>6</v>
      </c>
      <c r="E95" s="36">
        <v>2</v>
      </c>
      <c r="F95" s="37">
        <v>0.01</v>
      </c>
      <c r="G95" s="36">
        <v>20</v>
      </c>
      <c r="H95" s="38">
        <f>(G$33/E95)*F95</f>
        <v>0.04</v>
      </c>
      <c r="I95" s="39">
        <f>MAX((G$33/E95)*G95-H95*I$33,0)</f>
        <v>80</v>
      </c>
      <c r="J95" s="41">
        <v>0.75</v>
      </c>
      <c r="K95" s="42" t="s">
        <v>205</v>
      </c>
      <c r="L95" s="42"/>
    </row>
    <row r="96" spans="1:12" hidden="1" x14ac:dyDescent="0.25">
      <c r="A96" t="s">
        <v>217</v>
      </c>
      <c r="B96" s="36">
        <v>10000000</v>
      </c>
      <c r="C96" s="36" t="s">
        <v>58</v>
      </c>
      <c r="D96" s="36">
        <v>6</v>
      </c>
      <c r="E96" s="36">
        <v>1</v>
      </c>
      <c r="F96" s="37">
        <v>0.1</v>
      </c>
      <c r="G96" s="36">
        <v>20</v>
      </c>
      <c r="H96" s="38">
        <f>(G$33/E96)*F96</f>
        <v>0.8</v>
      </c>
      <c r="I96" s="39">
        <f>MAX((G$33/E96)*G96-H96*I$33,0)</f>
        <v>160</v>
      </c>
      <c r="J96" s="41">
        <v>0.75</v>
      </c>
      <c r="K96" s="42" t="s">
        <v>205</v>
      </c>
      <c r="L96" s="42"/>
    </row>
    <row r="97" spans="1:12" hidden="1" x14ac:dyDescent="0.25">
      <c r="A97" t="s">
        <v>220</v>
      </c>
      <c r="B97" s="36">
        <v>10000000</v>
      </c>
      <c r="C97" s="36" t="s">
        <v>62</v>
      </c>
      <c r="D97" s="36">
        <v>6</v>
      </c>
      <c r="E97" s="36">
        <v>1</v>
      </c>
      <c r="F97" s="78">
        <v>5.0000000000000001E-3</v>
      </c>
      <c r="G97" s="36">
        <v>2000</v>
      </c>
      <c r="H97" s="38">
        <f>(G$33/E97)*F97</f>
        <v>0.04</v>
      </c>
      <c r="I97" s="39">
        <f>MAX((G$33/E97)*G97-H97*I$33,0)</f>
        <v>16000</v>
      </c>
      <c r="J97" s="41">
        <v>0.75</v>
      </c>
      <c r="K97" s="42" t="s">
        <v>205</v>
      </c>
      <c r="L97" s="42"/>
    </row>
    <row r="98" spans="1:12" hidden="1" x14ac:dyDescent="0.25">
      <c r="A98" t="s">
        <v>297</v>
      </c>
      <c r="B98" s="36">
        <v>20000000</v>
      </c>
      <c r="C98" s="36" t="s">
        <v>62</v>
      </c>
      <c r="D98" s="36">
        <v>7</v>
      </c>
      <c r="E98" s="36">
        <v>24</v>
      </c>
      <c r="F98" s="37">
        <v>0.1</v>
      </c>
      <c r="G98" s="36">
        <v>75</v>
      </c>
      <c r="H98" s="38">
        <f>(G$33/E98)*F98</f>
        <v>3.3333333333333333E-2</v>
      </c>
      <c r="I98" s="39">
        <f>MAX((G$33/E98)*G98-H98*I$33,0)</f>
        <v>25</v>
      </c>
      <c r="J98" s="41">
        <v>0.75</v>
      </c>
      <c r="K98" s="42" t="s">
        <v>296</v>
      </c>
      <c r="L98" s="42"/>
    </row>
    <row r="99" spans="1:12" hidden="1" x14ac:dyDescent="0.25">
      <c r="A99" t="s">
        <v>230</v>
      </c>
      <c r="B99" s="36">
        <v>40000000</v>
      </c>
      <c r="C99" s="36" t="s">
        <v>58</v>
      </c>
      <c r="D99" s="36">
        <v>7</v>
      </c>
      <c r="E99" s="36">
        <v>1</v>
      </c>
      <c r="F99" s="37">
        <v>0.1</v>
      </c>
      <c r="G99" s="36">
        <v>200</v>
      </c>
      <c r="H99" s="38">
        <f t="shared" si="25"/>
        <v>0.8</v>
      </c>
      <c r="I99" s="39">
        <f t="shared" si="26"/>
        <v>1600</v>
      </c>
      <c r="J99" s="42">
        <v>0</v>
      </c>
      <c r="K99" s="42" t="s">
        <v>205</v>
      </c>
      <c r="L99" s="42"/>
    </row>
    <row r="100" spans="1:12" hidden="1" x14ac:dyDescent="0.25">
      <c r="A100" t="s">
        <v>231</v>
      </c>
      <c r="B100" s="36">
        <v>40000000</v>
      </c>
      <c r="C100" s="36" t="s">
        <v>58</v>
      </c>
      <c r="D100" s="36">
        <v>7</v>
      </c>
      <c r="E100" s="36">
        <v>1</v>
      </c>
      <c r="F100" s="37">
        <v>0.1</v>
      </c>
      <c r="G100" s="36">
        <v>200</v>
      </c>
      <c r="H100" s="38">
        <f t="shared" si="25"/>
        <v>0.8</v>
      </c>
      <c r="I100" s="39">
        <f t="shared" si="26"/>
        <v>1600</v>
      </c>
      <c r="J100" s="42">
        <v>0</v>
      </c>
      <c r="K100" s="42" t="s">
        <v>205</v>
      </c>
      <c r="L100" s="42"/>
    </row>
    <row r="101" spans="1:12" hidden="1" x14ac:dyDescent="0.25">
      <c r="A101" t="s">
        <v>298</v>
      </c>
      <c r="B101" s="36">
        <v>100000000</v>
      </c>
      <c r="C101" s="36" t="s">
        <v>62</v>
      </c>
      <c r="D101" s="36">
        <v>7</v>
      </c>
      <c r="E101" s="36">
        <v>32</v>
      </c>
      <c r="F101" s="37">
        <v>0.1</v>
      </c>
      <c r="G101" s="36">
        <v>100</v>
      </c>
      <c r="H101" s="38">
        <f>(G$33/E101)*F101</f>
        <v>2.5000000000000001E-2</v>
      </c>
      <c r="I101" s="39">
        <f>MAX((G$33/E101)*G101-H101*I$33,0)</f>
        <v>25</v>
      </c>
      <c r="J101" s="41">
        <v>0.75</v>
      </c>
      <c r="K101" s="42" t="s">
        <v>296</v>
      </c>
      <c r="L101" s="42"/>
    </row>
    <row r="102" spans="1:12" hidden="1" x14ac:dyDescent="0.25">
      <c r="A102" t="s">
        <v>216</v>
      </c>
      <c r="B102" s="36">
        <v>100000000</v>
      </c>
      <c r="C102" s="36" t="s">
        <v>58</v>
      </c>
      <c r="D102" s="36">
        <v>7</v>
      </c>
      <c r="E102" s="36">
        <v>4</v>
      </c>
      <c r="F102" s="37">
        <v>0.08</v>
      </c>
      <c r="G102" s="36">
        <v>20</v>
      </c>
      <c r="H102" s="38">
        <f>(G$33/E102)*F102</f>
        <v>0.16</v>
      </c>
      <c r="I102" s="39">
        <f>MAX((G$33/E102)*G102-H102*I$33,0)</f>
        <v>40</v>
      </c>
      <c r="J102" s="41">
        <v>0.75</v>
      </c>
      <c r="K102" s="42" t="s">
        <v>205</v>
      </c>
      <c r="L102" s="42"/>
    </row>
    <row r="103" spans="1:12" hidden="1" x14ac:dyDescent="0.25">
      <c r="A103" t="s">
        <v>214</v>
      </c>
      <c r="B103" s="36">
        <v>100000000</v>
      </c>
      <c r="C103" s="36" t="s">
        <v>62</v>
      </c>
      <c r="D103" s="36">
        <v>7</v>
      </c>
      <c r="E103" s="36">
        <v>1</v>
      </c>
      <c r="F103" s="37">
        <v>0.1</v>
      </c>
      <c r="G103" s="36">
        <v>4000</v>
      </c>
      <c r="H103" s="38">
        <f t="shared" si="25"/>
        <v>0.8</v>
      </c>
      <c r="I103" s="39">
        <f t="shared" si="26"/>
        <v>32000</v>
      </c>
      <c r="J103" s="42">
        <v>0</v>
      </c>
      <c r="K103" s="42" t="s">
        <v>205</v>
      </c>
      <c r="L103" s="42"/>
    </row>
    <row r="104" spans="1:12" hidden="1" x14ac:dyDescent="0.25">
      <c r="A104" t="s">
        <v>213</v>
      </c>
      <c r="B104" s="36">
        <v>100000000</v>
      </c>
      <c r="C104" s="36" t="s">
        <v>62</v>
      </c>
      <c r="D104" s="36">
        <v>7</v>
      </c>
      <c r="E104" s="36">
        <v>1</v>
      </c>
      <c r="F104" s="37">
        <v>0.1</v>
      </c>
      <c r="G104" s="36">
        <v>4000</v>
      </c>
      <c r="H104" s="38">
        <f t="shared" si="25"/>
        <v>0.8</v>
      </c>
      <c r="I104" s="39">
        <f t="shared" si="26"/>
        <v>32000</v>
      </c>
      <c r="J104" s="42">
        <v>0</v>
      </c>
      <c r="K104" s="42" t="s">
        <v>205</v>
      </c>
      <c r="L104" s="42"/>
    </row>
    <row r="105" spans="1:12" hidden="1" x14ac:dyDescent="0.25">
      <c r="A105" t="s">
        <v>215</v>
      </c>
      <c r="B105" s="36">
        <v>100000000</v>
      </c>
      <c r="C105" s="36" t="s">
        <v>62</v>
      </c>
      <c r="D105" s="36">
        <v>7</v>
      </c>
      <c r="E105" s="36">
        <v>1</v>
      </c>
      <c r="F105" s="37">
        <v>0.1</v>
      </c>
      <c r="G105" s="36">
        <v>4000</v>
      </c>
      <c r="H105" s="38">
        <f t="shared" si="25"/>
        <v>0.8</v>
      </c>
      <c r="I105" s="39">
        <f t="shared" si="26"/>
        <v>32000</v>
      </c>
      <c r="J105" s="42">
        <v>0</v>
      </c>
      <c r="K105" s="42" t="s">
        <v>205</v>
      </c>
      <c r="L105" s="42"/>
    </row>
    <row r="106" spans="1:12" hidden="1" x14ac:dyDescent="0.25">
      <c r="A106" t="s">
        <v>237</v>
      </c>
      <c r="B106" s="36">
        <v>100000000</v>
      </c>
      <c r="C106" s="36" t="s">
        <v>62</v>
      </c>
      <c r="D106" s="36">
        <v>7</v>
      </c>
      <c r="E106" s="36">
        <v>1</v>
      </c>
      <c r="F106" s="37">
        <v>0.1</v>
      </c>
      <c r="G106" s="36">
        <v>4000</v>
      </c>
      <c r="H106" s="38">
        <f>(G$33/E106)*F106</f>
        <v>0.8</v>
      </c>
      <c r="I106" s="39">
        <f>MAX((G$33/E106)*G106-H106*I$33,0)</f>
        <v>32000</v>
      </c>
      <c r="J106" s="42">
        <v>0</v>
      </c>
      <c r="K106" s="42" t="s">
        <v>205</v>
      </c>
      <c r="L106" s="42"/>
    </row>
    <row r="107" spans="1:12" hidden="1" x14ac:dyDescent="0.25">
      <c r="A107" t="s">
        <v>226</v>
      </c>
      <c r="B107" s="36">
        <v>100000000</v>
      </c>
      <c r="C107" s="36" t="s">
        <v>62</v>
      </c>
      <c r="D107" s="36">
        <v>7</v>
      </c>
      <c r="E107" s="36">
        <v>1</v>
      </c>
      <c r="F107" s="37">
        <v>0.05</v>
      </c>
      <c r="G107" s="36">
        <v>20000</v>
      </c>
      <c r="H107" s="38">
        <f>(G$33/E107)*F107</f>
        <v>0.4</v>
      </c>
      <c r="I107" s="39">
        <f>MAX((G$33/E107)*G107-H107*I$33,0)</f>
        <v>160000</v>
      </c>
      <c r="J107" s="42">
        <v>0</v>
      </c>
      <c r="K107" s="42" t="s">
        <v>205</v>
      </c>
      <c r="L107" s="42"/>
    </row>
    <row r="108" spans="1:12" hidden="1" x14ac:dyDescent="0.25">
      <c r="A108" t="s">
        <v>227</v>
      </c>
      <c r="B108" s="36">
        <v>100000000</v>
      </c>
      <c r="C108" s="36" t="s">
        <v>62</v>
      </c>
      <c r="D108" s="36">
        <v>7</v>
      </c>
      <c r="E108" s="36">
        <v>1</v>
      </c>
      <c r="F108" s="37">
        <v>0.05</v>
      </c>
      <c r="G108" s="36">
        <v>20000</v>
      </c>
      <c r="H108" s="38">
        <f>(G$33/E108)*F108</f>
        <v>0.4</v>
      </c>
      <c r="I108" s="39">
        <f>MAX((G$33/E108)*G108-H108*I$33,0)</f>
        <v>160000</v>
      </c>
      <c r="J108" s="42">
        <v>0</v>
      </c>
      <c r="K108" s="42" t="s">
        <v>205</v>
      </c>
      <c r="L108" s="42"/>
    </row>
    <row r="109" spans="1:12" hidden="1" x14ac:dyDescent="0.25">
      <c r="A109" t="s">
        <v>559</v>
      </c>
      <c r="B109" s="36">
        <v>1000000000</v>
      </c>
      <c r="C109" s="36" t="s">
        <v>62</v>
      </c>
      <c r="D109" s="36">
        <v>7</v>
      </c>
      <c r="E109" s="36">
        <v>1</v>
      </c>
      <c r="F109" s="37">
        <v>0.1</v>
      </c>
      <c r="G109" s="36">
        <v>10000</v>
      </c>
      <c r="H109" s="38">
        <f t="shared" ref="H109:H110" si="31">(G$33/E109)*F109</f>
        <v>0.8</v>
      </c>
      <c r="I109" s="39">
        <f t="shared" ref="I109:I110" si="32">MAX((G$33/E109)*G109-H109*I$33,0)</f>
        <v>80000</v>
      </c>
      <c r="J109" s="42">
        <v>0</v>
      </c>
      <c r="K109" s="42" t="s">
        <v>205</v>
      </c>
      <c r="L109" s="42"/>
    </row>
    <row r="110" spans="1:12" hidden="1" x14ac:dyDescent="0.25">
      <c r="A110" t="s">
        <v>558</v>
      </c>
      <c r="B110" s="36">
        <v>1000000000</v>
      </c>
      <c r="C110" s="36" t="s">
        <v>58</v>
      </c>
      <c r="D110" s="36">
        <v>7</v>
      </c>
      <c r="E110" s="36">
        <v>1</v>
      </c>
      <c r="F110" s="78">
        <v>1E-3</v>
      </c>
      <c r="G110" s="36">
        <v>200000</v>
      </c>
      <c r="H110" s="38">
        <f t="shared" si="31"/>
        <v>8.0000000000000002E-3</v>
      </c>
      <c r="I110" s="39">
        <f t="shared" si="32"/>
        <v>1600000</v>
      </c>
      <c r="J110" s="42">
        <v>0</v>
      </c>
      <c r="K110" s="42" t="s">
        <v>205</v>
      </c>
      <c r="L110" s="42"/>
    </row>
    <row r="111" spans="1:12" x14ac:dyDescent="0.25">
      <c r="B111" s="36"/>
      <c r="C111" s="36"/>
      <c r="D111" s="36"/>
      <c r="E111" s="36"/>
      <c r="F111" s="37"/>
      <c r="G111" s="36"/>
      <c r="H111" s="38"/>
      <c r="I111" s="39"/>
      <c r="J111" s="42"/>
      <c r="K111" s="42"/>
    </row>
    <row r="113" spans="1:7" x14ac:dyDescent="0.25">
      <c r="A113" s="45" t="s">
        <v>50</v>
      </c>
      <c r="B113" s="45" t="s">
        <v>49</v>
      </c>
      <c r="C113" s="6" t="s">
        <v>256</v>
      </c>
      <c r="E113" s="10" t="s">
        <v>77</v>
      </c>
      <c r="F113" s="10">
        <v>13599.84</v>
      </c>
      <c r="G113" s="22" t="s">
        <v>78</v>
      </c>
    </row>
    <row r="114" spans="1:7" x14ac:dyDescent="0.25">
      <c r="A114" s="46" t="s">
        <v>246</v>
      </c>
      <c r="B114" s="46">
        <v>5</v>
      </c>
      <c r="C114" t="s">
        <v>148</v>
      </c>
      <c r="E114" s="23" t="s">
        <v>80</v>
      </c>
      <c r="F114" s="18">
        <v>79738</v>
      </c>
      <c r="G114" s="18">
        <v>18</v>
      </c>
    </row>
    <row r="115" spans="1:7" x14ac:dyDescent="0.25">
      <c r="A115" s="46" t="s">
        <v>247</v>
      </c>
      <c r="B115" s="46">
        <v>8</v>
      </c>
      <c r="C115" t="s">
        <v>148</v>
      </c>
      <c r="E115" s="10" t="s">
        <v>81</v>
      </c>
      <c r="F115" s="20" t="s">
        <v>82</v>
      </c>
      <c r="G115" s="10" t="s">
        <v>83</v>
      </c>
    </row>
    <row r="116" spans="1:7" x14ac:dyDescent="0.25">
      <c r="A116" s="36" t="s">
        <v>60</v>
      </c>
      <c r="B116" s="36">
        <v>8</v>
      </c>
      <c r="C116" t="s">
        <v>148</v>
      </c>
      <c r="E116" s="10">
        <v>0.3</v>
      </c>
      <c r="F116" s="24">
        <f>(F$113/(F$114+261.6))*(F$113/(F$114+261.6))*E116</f>
        <v>8.66988269981025E-3</v>
      </c>
      <c r="G116" s="25">
        <f>F116*G$114</f>
        <v>0.15605788859658451</v>
      </c>
    </row>
    <row r="117" spans="1:7" x14ac:dyDescent="0.25">
      <c r="A117" s="36" t="s">
        <v>63</v>
      </c>
      <c r="B117" s="36">
        <v>10</v>
      </c>
      <c r="C117" t="s">
        <v>148</v>
      </c>
      <c r="E117" s="10">
        <v>1.6</v>
      </c>
      <c r="F117" s="24">
        <f>(F$113/(F$114+261.6))*(F$113/(F$114+261.6))*E117</f>
        <v>4.6239374398988009E-2</v>
      </c>
      <c r="G117" s="25">
        <f>F117*G$114</f>
        <v>0.83230873918178416</v>
      </c>
    </row>
    <row r="118" spans="1:7" x14ac:dyDescent="0.25">
      <c r="A118" s="36" t="s">
        <v>65</v>
      </c>
      <c r="B118" s="36">
        <v>12</v>
      </c>
      <c r="C118" t="s">
        <v>148</v>
      </c>
      <c r="E118" s="10">
        <v>2.8</v>
      </c>
      <c r="F118" s="24">
        <f>(F$113/(F$114+261.6))*(F$113/(F$114+261.6))*E118</f>
        <v>8.0918905198229002E-2</v>
      </c>
      <c r="G118" s="25">
        <f>F118*G$114</f>
        <v>1.456540293568122</v>
      </c>
    </row>
    <row r="119" spans="1:7" x14ac:dyDescent="0.25">
      <c r="A119" s="36" t="s">
        <v>67</v>
      </c>
      <c r="B119" s="36">
        <v>25</v>
      </c>
      <c r="C119" t="s">
        <v>148</v>
      </c>
      <c r="E119" s="10">
        <v>24.4</v>
      </c>
      <c r="F119" s="24">
        <f>(F$113/(F$114+261.6))*(F$113/(F$114+261.6))*E119</f>
        <v>0.70515045958456701</v>
      </c>
      <c r="G119" s="25">
        <f>F119*G$114</f>
        <v>12.692708272522207</v>
      </c>
    </row>
    <row r="120" spans="1:7" x14ac:dyDescent="0.25">
      <c r="A120" s="46" t="s">
        <v>69</v>
      </c>
      <c r="B120" s="46">
        <v>30</v>
      </c>
      <c r="C120" t="s">
        <v>148</v>
      </c>
    </row>
    <row r="121" spans="1:7" x14ac:dyDescent="0.25">
      <c r="A121" s="46" t="s">
        <v>238</v>
      </c>
      <c r="B121" s="46">
        <v>30</v>
      </c>
      <c r="C121" t="s">
        <v>148</v>
      </c>
    </row>
    <row r="122" spans="1:7" x14ac:dyDescent="0.25">
      <c r="A122" s="36" t="s">
        <v>71</v>
      </c>
      <c r="B122" s="36">
        <v>50</v>
      </c>
      <c r="C122" t="s">
        <v>148</v>
      </c>
    </row>
    <row r="123" spans="1:7" x14ac:dyDescent="0.25">
      <c r="A123" s="36" t="s">
        <v>73</v>
      </c>
      <c r="B123" s="36">
        <v>60</v>
      </c>
      <c r="C123" t="s">
        <v>148</v>
      </c>
    </row>
    <row r="124" spans="1:7" x14ac:dyDescent="0.25">
      <c r="A124" s="46" t="s">
        <v>75</v>
      </c>
      <c r="B124" s="36">
        <v>60</v>
      </c>
      <c r="C124" t="s">
        <v>148</v>
      </c>
    </row>
    <row r="125" spans="1:7" x14ac:dyDescent="0.25">
      <c r="A125" s="36" t="s">
        <v>76</v>
      </c>
      <c r="B125" s="36">
        <v>200</v>
      </c>
      <c r="C125" t="s">
        <v>148</v>
      </c>
    </row>
    <row r="126" spans="1:7" x14ac:dyDescent="0.25">
      <c r="A126" s="36" t="s">
        <v>79</v>
      </c>
      <c r="B126" s="36">
        <v>500</v>
      </c>
      <c r="C126" t="s">
        <v>148</v>
      </c>
    </row>
    <row r="127" spans="1:7" hidden="1" x14ac:dyDescent="0.25">
      <c r="A127" t="s">
        <v>235</v>
      </c>
      <c r="B127">
        <v>1</v>
      </c>
      <c r="C127" t="s">
        <v>205</v>
      </c>
    </row>
    <row r="128" spans="1:7" hidden="1" x14ac:dyDescent="0.25">
      <c r="A128" t="s">
        <v>244</v>
      </c>
      <c r="B128">
        <v>1</v>
      </c>
      <c r="C128" t="s">
        <v>205</v>
      </c>
    </row>
    <row r="129" spans="1:3" hidden="1" x14ac:dyDescent="0.25">
      <c r="A129" t="s">
        <v>245</v>
      </c>
      <c r="B129">
        <v>20</v>
      </c>
      <c r="C129" t="s">
        <v>205</v>
      </c>
    </row>
    <row r="130" spans="1:3" hidden="1" x14ac:dyDescent="0.25">
      <c r="A130" t="s">
        <v>240</v>
      </c>
      <c r="B130">
        <v>50</v>
      </c>
      <c r="C130" t="s">
        <v>205</v>
      </c>
    </row>
    <row r="131" spans="1:3" hidden="1" x14ac:dyDescent="0.25">
      <c r="A131" t="s">
        <v>242</v>
      </c>
      <c r="B131">
        <v>62.5</v>
      </c>
      <c r="C131" t="s">
        <v>205</v>
      </c>
    </row>
    <row r="132" spans="1:3" hidden="1" x14ac:dyDescent="0.25">
      <c r="A132" t="s">
        <v>241</v>
      </c>
      <c r="B132">
        <v>125</v>
      </c>
      <c r="C132" t="s">
        <v>205</v>
      </c>
    </row>
    <row r="133" spans="1:3" hidden="1" x14ac:dyDescent="0.25">
      <c r="A133" t="s">
        <v>243</v>
      </c>
      <c r="B133">
        <v>500</v>
      </c>
      <c r="C133" t="s">
        <v>205</v>
      </c>
    </row>
    <row r="134" spans="1:3" hidden="1" x14ac:dyDescent="0.25">
      <c r="A134" t="s">
        <v>239</v>
      </c>
      <c r="B134">
        <v>500</v>
      </c>
      <c r="C134" t="s">
        <v>205</v>
      </c>
    </row>
    <row r="135" spans="1:3" hidden="1" x14ac:dyDescent="0.25">
      <c r="A135" t="s">
        <v>229</v>
      </c>
      <c r="B135">
        <v>2000</v>
      </c>
      <c r="C135" t="s">
        <v>205</v>
      </c>
    </row>
    <row r="137" spans="1:3" x14ac:dyDescent="0.25">
      <c r="A137" t="s">
        <v>233</v>
      </c>
      <c r="B137" t="s">
        <v>80</v>
      </c>
      <c r="C137" t="s">
        <v>256</v>
      </c>
    </row>
    <row r="138" spans="1:3" x14ac:dyDescent="0.25">
      <c r="A138" t="s">
        <v>277</v>
      </c>
      <c r="B138">
        <v>0</v>
      </c>
      <c r="C138" t="s">
        <v>449</v>
      </c>
    </row>
    <row r="139" spans="1:3" x14ac:dyDescent="0.25">
      <c r="A139" t="s">
        <v>561</v>
      </c>
      <c r="B139">
        <v>9</v>
      </c>
      <c r="C139" t="s">
        <v>449</v>
      </c>
    </row>
    <row r="140" spans="1:3" x14ac:dyDescent="0.25">
      <c r="A140" t="s">
        <v>562</v>
      </c>
      <c r="B140">
        <v>75</v>
      </c>
      <c r="C140" t="s">
        <v>449</v>
      </c>
    </row>
    <row r="141" spans="1:3" x14ac:dyDescent="0.25">
      <c r="A141" t="s">
        <v>563</v>
      </c>
      <c r="B141">
        <v>850</v>
      </c>
      <c r="C141" t="s">
        <v>449</v>
      </c>
    </row>
    <row r="142" spans="1:3" x14ac:dyDescent="0.25">
      <c r="A142" t="s">
        <v>564</v>
      </c>
      <c r="B142">
        <v>9000</v>
      </c>
      <c r="C142" t="s">
        <v>449</v>
      </c>
    </row>
    <row r="143" spans="1:3" x14ac:dyDescent="0.25">
      <c r="A143" t="s">
        <v>565</v>
      </c>
      <c r="B143">
        <v>100000</v>
      </c>
      <c r="C143" t="s">
        <v>449</v>
      </c>
    </row>
    <row r="144" spans="1:3" x14ac:dyDescent="0.25">
      <c r="A144" t="s">
        <v>566</v>
      </c>
      <c r="B144">
        <v>5000000</v>
      </c>
      <c r="C144" t="s">
        <v>449</v>
      </c>
    </row>
    <row r="146" spans="1:2" x14ac:dyDescent="0.25">
      <c r="A146" t="s">
        <v>256</v>
      </c>
      <c r="B146" t="s">
        <v>588</v>
      </c>
    </row>
    <row r="147" spans="1:2" x14ac:dyDescent="0.25">
      <c r="A147" t="s">
        <v>148</v>
      </c>
      <c r="B147">
        <v>1</v>
      </c>
    </row>
    <row r="148" spans="1:2" x14ac:dyDescent="0.25">
      <c r="A148" t="s">
        <v>415</v>
      </c>
      <c r="B148">
        <v>4</v>
      </c>
    </row>
  </sheetData>
  <mergeCells count="3">
    <mergeCell ref="B14:M14"/>
    <mergeCell ref="J2:K2"/>
    <mergeCell ref="B1:L1"/>
  </mergeCells>
  <conditionalFormatting sqref="B16:L23">
    <cfRule type="colorScale" priority="3">
      <colorScale>
        <cfvo type="min"/>
        <cfvo type="max"/>
        <color rgb="FFFCFCFF"/>
        <color rgb="FF63BE7B"/>
      </colorScale>
    </cfRule>
  </conditionalFormatting>
  <conditionalFormatting sqref="M16:M23">
    <cfRule type="colorScale" priority="2">
      <colorScale>
        <cfvo type="min"/>
        <cfvo type="max"/>
        <color rgb="FFFCFCFF"/>
        <color rgb="FF63BE7B"/>
      </colorScale>
    </cfRule>
  </conditionalFormatting>
  <conditionalFormatting sqref="B16:M23">
    <cfRule type="colorScale" priority="1">
      <colorScale>
        <cfvo type="min"/>
        <cfvo type="max"/>
        <color rgb="FFFCFCFF"/>
        <color rgb="FF63BE7B"/>
      </colorScale>
    </cfRule>
  </conditionalFormatting>
  <dataValidations count="11">
    <dataValidation type="list" allowBlank="1" showInputMessage="1" showErrorMessage="1" sqref="E33">
      <formula1>INDIRECT("Sensors[Sensor]")</formula1>
    </dataValidation>
    <dataValidation type="list" allowBlank="1" showInputMessage="1" showErrorMessage="1" sqref="B4">
      <formula1>$A$35:$A$35</formula1>
    </dataValidation>
    <dataValidation type="list" allowBlank="1" showInputMessage="1" showErrorMessage="1" sqref="C4">
      <formula1>$A$36:$A$50</formula1>
    </dataValidation>
    <dataValidation type="list" allowBlank="1" showInputMessage="1" showErrorMessage="1" sqref="F4">
      <formula1>$A$70:$A$75</formula1>
    </dataValidation>
    <dataValidation type="list" allowBlank="1" showInputMessage="1" showErrorMessage="1" sqref="G4">
      <formula1>$A$76:$A$82</formula1>
    </dataValidation>
    <dataValidation type="list" allowBlank="1" showInputMessage="1" showErrorMessage="1" sqref="E4">
      <formula1>$A$62:$A$69</formula1>
    </dataValidation>
    <dataValidation type="list" allowBlank="1" showInputMessage="1" showErrorMessage="1" sqref="I4">
      <formula1>$A$98:$A$110</formula1>
    </dataValidation>
    <dataValidation type="list" allowBlank="1" showInputMessage="1" showErrorMessage="1" sqref="D4">
      <formula1>$A$51:$A$61</formula1>
    </dataValidation>
    <dataValidation type="list" allowBlank="1" showInputMessage="1" showErrorMessage="1" sqref="H4">
      <formula1>$A$83:$A$97</formula1>
    </dataValidation>
    <dataValidation type="list" allowBlank="1" showInputMessage="1" showErrorMessage="1" sqref="A1">
      <formula1>$A$138:$A$144</formula1>
    </dataValidation>
    <dataValidation type="list" allowBlank="1" showInputMessage="1" showErrorMessage="1" sqref="M1">
      <formula1>$A$147:$A$148</formula1>
    </dataValidation>
  </dataValidations>
  <pageMargins left="0.7" right="0.7" top="0.75" bottom="0.75" header="0.3" footer="0.3"/>
  <pageSetup paperSize="9" orientation="portrait" r:id="rId1"/>
  <legacyDrawing r:id="rId2"/>
  <tableParts count="4"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85"/>
  <sheetViews>
    <sheetView workbookViewId="0">
      <pane xSplit="1" ySplit="1" topLeftCell="B124" activePane="bottomRight" state="frozen"/>
      <selection pane="topRight" activeCell="B1" sqref="B1"/>
      <selection pane="bottomLeft" activeCell="A2" sqref="A2"/>
      <selection pane="bottomRight" activeCell="A128" sqref="A128"/>
    </sheetView>
  </sheetViews>
  <sheetFormatPr defaultRowHeight="15" x14ac:dyDescent="0.25"/>
  <cols>
    <col min="1" max="2" width="10.7109375" customWidth="1"/>
    <col min="3" max="3" width="12.7109375" customWidth="1"/>
    <col min="4" max="6" width="10.7109375" customWidth="1"/>
    <col min="7" max="7" width="12.85546875" customWidth="1"/>
    <col min="8" max="8" width="8" bestFit="1" customWidth="1"/>
    <col min="9" max="9" width="7.140625" customWidth="1"/>
    <col min="10" max="10" width="5.28515625" customWidth="1"/>
    <col min="11" max="11" width="6" bestFit="1" customWidth="1"/>
    <col min="12" max="12" width="6.85546875" customWidth="1"/>
    <col min="13" max="13" width="14.5703125" style="5" customWidth="1"/>
    <col min="14" max="14" width="14.28515625" style="5" customWidth="1"/>
    <col min="15" max="15" width="14.5703125" style="5" customWidth="1"/>
    <col min="16" max="16" width="12.42578125" style="5" customWidth="1"/>
    <col min="17" max="20" width="9.140625" style="5" customWidth="1"/>
    <col min="21" max="21" width="10.140625" customWidth="1"/>
  </cols>
  <sheetData>
    <row r="1" spans="1:19" ht="18.75" x14ac:dyDescent="0.35">
      <c r="A1" t="s">
        <v>114</v>
      </c>
      <c r="B1" t="s">
        <v>94</v>
      </c>
      <c r="C1" t="s">
        <v>200</v>
      </c>
      <c r="D1" t="s">
        <v>120</v>
      </c>
      <c r="E1" t="s">
        <v>126</v>
      </c>
      <c r="F1" t="s">
        <v>99</v>
      </c>
      <c r="G1" t="s">
        <v>203</v>
      </c>
      <c r="H1" t="s">
        <v>202</v>
      </c>
      <c r="I1" t="s">
        <v>256</v>
      </c>
      <c r="J1" t="s">
        <v>201</v>
      </c>
      <c r="K1" t="s">
        <v>158</v>
      </c>
      <c r="L1" t="s">
        <v>157</v>
      </c>
      <c r="M1" s="5" t="s">
        <v>154</v>
      </c>
      <c r="N1" s="5" t="s">
        <v>168</v>
      </c>
      <c r="O1" s="5" t="s">
        <v>169</v>
      </c>
      <c r="P1" s="5" t="s">
        <v>172</v>
      </c>
    </row>
    <row r="2" spans="1:19" hidden="1" x14ac:dyDescent="0.25">
      <c r="A2" t="s">
        <v>95</v>
      </c>
      <c r="B2">
        <v>261600</v>
      </c>
      <c r="C2">
        <v>1172332800</v>
      </c>
      <c r="D2" s="5">
        <v>1.74685</v>
      </c>
      <c r="E2">
        <v>432000</v>
      </c>
      <c r="F2" t="s">
        <v>100</v>
      </c>
      <c r="G2">
        <v>600</v>
      </c>
      <c r="H2">
        <v>0.15790999999999999</v>
      </c>
      <c r="I2" t="s">
        <v>148</v>
      </c>
    </row>
    <row r="3" spans="1:19" hidden="1" x14ac:dyDescent="0.25">
      <c r="A3" t="s">
        <v>96</v>
      </c>
      <c r="B3">
        <v>250</v>
      </c>
      <c r="C3">
        <v>168.60937999999999</v>
      </c>
      <c r="D3" s="5">
        <v>0.27509</v>
      </c>
      <c r="E3">
        <v>1210000</v>
      </c>
      <c r="F3">
        <v>9647</v>
      </c>
      <c r="G3">
        <v>0</v>
      </c>
      <c r="H3">
        <v>0</v>
      </c>
      <c r="I3" t="s">
        <v>148</v>
      </c>
      <c r="K3" s="32">
        <v>7</v>
      </c>
      <c r="L3" s="32">
        <v>0.2</v>
      </c>
      <c r="M3" s="34">
        <v>5263138.3039999995</v>
      </c>
      <c r="N3" s="5">
        <f>Planets[[#This Row],[a]]*(1+Planets[[#This Row],[e]])</f>
        <v>6315765.9647999993</v>
      </c>
      <c r="O3" s="5">
        <f>Planets[[#This Row],[a]]*(1-Planets[[#This Row],[e]])</f>
        <v>4210510.6431999998</v>
      </c>
      <c r="P3" s="5" t="s">
        <v>95</v>
      </c>
    </row>
    <row r="4" spans="1:19" hidden="1" x14ac:dyDescent="0.25">
      <c r="A4" t="s">
        <v>97</v>
      </c>
      <c r="B4">
        <v>700</v>
      </c>
      <c r="C4">
        <v>8171.7302</v>
      </c>
      <c r="D4" s="5">
        <v>1.70058</v>
      </c>
      <c r="E4">
        <v>80500</v>
      </c>
      <c r="F4">
        <v>85109</v>
      </c>
      <c r="G4">
        <v>90</v>
      </c>
      <c r="H4">
        <v>5</v>
      </c>
      <c r="I4" t="s">
        <v>148</v>
      </c>
      <c r="K4" s="32">
        <v>2.1</v>
      </c>
      <c r="L4" s="32">
        <v>0.01</v>
      </c>
      <c r="M4" s="34">
        <v>9832684.5439999998</v>
      </c>
      <c r="N4" s="5">
        <f>Planets[[#This Row],[a]]*(1+Planets[[#This Row],[e]])</f>
        <v>9931011.3894400001</v>
      </c>
      <c r="O4" s="5">
        <f>Planets[[#This Row],[a]]*(1-Planets[[#This Row],[e]])</f>
        <v>9734357.6985599995</v>
      </c>
      <c r="P4" s="5" t="s">
        <v>95</v>
      </c>
    </row>
    <row r="5" spans="1:19" hidden="1" x14ac:dyDescent="0.25">
      <c r="A5" t="s">
        <v>98</v>
      </c>
      <c r="B5">
        <v>13</v>
      </c>
      <c r="C5" s="62">
        <v>8.2894497999999994E-3</v>
      </c>
      <c r="D5" s="5">
        <v>5.0000000000000001E-3</v>
      </c>
      <c r="E5">
        <v>28255</v>
      </c>
      <c r="F5">
        <v>126</v>
      </c>
      <c r="G5">
        <v>0</v>
      </c>
      <c r="H5">
        <v>0</v>
      </c>
      <c r="I5" t="s">
        <v>148</v>
      </c>
      <c r="K5" s="32">
        <v>12</v>
      </c>
      <c r="L5" s="32">
        <v>0.55000000000000004</v>
      </c>
      <c r="M5" s="33">
        <v>31500</v>
      </c>
      <c r="N5" s="5">
        <f>Planets[[#This Row],[a]]*(1+Planets[[#This Row],[e]])</f>
        <v>48825</v>
      </c>
      <c r="O5" s="5">
        <f>Planets[[#This Row],[a]]*(1-Planets[[#This Row],[e]])</f>
        <v>14174.999999999998</v>
      </c>
      <c r="P5" s="5" t="s">
        <v>97</v>
      </c>
    </row>
    <row r="6" spans="1:19" hidden="1" x14ac:dyDescent="0.25">
      <c r="A6" t="s">
        <v>101</v>
      </c>
      <c r="B6">
        <v>600</v>
      </c>
      <c r="C6">
        <v>3531.6</v>
      </c>
      <c r="D6" s="5">
        <v>1.00034</v>
      </c>
      <c r="E6">
        <v>21549.424999999999</v>
      </c>
      <c r="F6">
        <v>84159</v>
      </c>
      <c r="G6">
        <v>70</v>
      </c>
      <c r="H6">
        <v>1</v>
      </c>
      <c r="I6" t="s">
        <v>148</v>
      </c>
      <c r="J6" t="s">
        <v>155</v>
      </c>
      <c r="K6" s="32">
        <v>0</v>
      </c>
      <c r="L6" s="32">
        <v>0</v>
      </c>
      <c r="M6" s="33">
        <v>13599840.255999999</v>
      </c>
      <c r="N6" s="5">
        <f>Planets[[#This Row],[a]]*(1+Planets[[#This Row],[e]])</f>
        <v>13599840.255999999</v>
      </c>
      <c r="O6" s="5">
        <f>Planets[[#This Row],[a]]*(1-Planets[[#This Row],[e]])</f>
        <v>13599840.255999999</v>
      </c>
      <c r="P6" s="5" t="s">
        <v>95</v>
      </c>
    </row>
    <row r="7" spans="1:19" hidden="1" x14ac:dyDescent="0.25">
      <c r="A7" t="s">
        <v>102</v>
      </c>
      <c r="B7">
        <v>200</v>
      </c>
      <c r="C7">
        <v>65.138397999999995</v>
      </c>
      <c r="D7" s="5">
        <v>0.16606000000000001</v>
      </c>
      <c r="E7">
        <v>138984.38</v>
      </c>
      <c r="F7">
        <v>2430</v>
      </c>
      <c r="G7">
        <v>0</v>
      </c>
      <c r="H7">
        <v>0</v>
      </c>
      <c r="I7" t="s">
        <v>148</v>
      </c>
      <c r="K7" s="32">
        <v>0</v>
      </c>
      <c r="L7" s="32">
        <v>0</v>
      </c>
      <c r="M7" s="33">
        <v>12000</v>
      </c>
      <c r="N7" s="5">
        <f>Planets[[#This Row],[a]]*(1+Planets[[#This Row],[e]])</f>
        <v>12000</v>
      </c>
      <c r="O7" s="5">
        <f>Planets[[#This Row],[a]]*(1-Planets[[#This Row],[e]])</f>
        <v>12000</v>
      </c>
      <c r="P7" s="5" t="s">
        <v>101</v>
      </c>
    </row>
    <row r="8" spans="1:19" hidden="1" x14ac:dyDescent="0.25">
      <c r="A8" t="s">
        <v>103</v>
      </c>
      <c r="B8">
        <v>60</v>
      </c>
      <c r="C8">
        <v>1.7658</v>
      </c>
      <c r="D8" s="5">
        <v>5.0020000000000002E-2</v>
      </c>
      <c r="E8">
        <v>40400</v>
      </c>
      <c r="F8">
        <v>2247</v>
      </c>
      <c r="G8">
        <v>0</v>
      </c>
      <c r="H8">
        <v>0</v>
      </c>
      <c r="I8" t="s">
        <v>148</v>
      </c>
      <c r="K8" s="32">
        <v>6</v>
      </c>
      <c r="L8" s="32">
        <v>0</v>
      </c>
      <c r="M8" s="33">
        <v>47000</v>
      </c>
      <c r="N8" s="5">
        <f>Planets[[#This Row],[a]]*(1+Planets[[#This Row],[e]])</f>
        <v>47000</v>
      </c>
      <c r="O8" s="5">
        <f>Planets[[#This Row],[a]]*(1-Planets[[#This Row],[e]])</f>
        <v>47000</v>
      </c>
      <c r="P8" s="5" t="s">
        <v>101</v>
      </c>
    </row>
    <row r="9" spans="1:19" hidden="1" x14ac:dyDescent="0.25">
      <c r="A9" t="s">
        <v>104</v>
      </c>
      <c r="B9">
        <v>320</v>
      </c>
      <c r="C9">
        <v>301.36320999999998</v>
      </c>
      <c r="D9" s="5">
        <v>0.30009999999999998</v>
      </c>
      <c r="E9">
        <v>65517.858999999997</v>
      </c>
      <c r="F9">
        <v>47922</v>
      </c>
      <c r="G9">
        <v>50</v>
      </c>
      <c r="H9">
        <v>6.6669999999999993E-2</v>
      </c>
      <c r="I9" t="s">
        <v>148</v>
      </c>
      <c r="K9" s="32">
        <v>0.06</v>
      </c>
      <c r="L9" s="32">
        <v>5.0999999999999997E-2</v>
      </c>
      <c r="M9" s="34">
        <v>20726155.263999999</v>
      </c>
      <c r="N9" s="5">
        <f>Planets[[#This Row],[a]]*(1+Planets[[#This Row],[e]])</f>
        <v>21783189.182463996</v>
      </c>
      <c r="O9" s="5">
        <f>Planets[[#This Row],[a]]*(1-Planets[[#This Row],[e]])</f>
        <v>19669121.345535997</v>
      </c>
      <c r="P9" s="5" t="s">
        <v>95</v>
      </c>
    </row>
    <row r="10" spans="1:19" hidden="1" x14ac:dyDescent="0.25">
      <c r="A10" t="s">
        <v>105</v>
      </c>
      <c r="B10">
        <v>130</v>
      </c>
      <c r="C10">
        <v>18.568369000000001</v>
      </c>
      <c r="D10" s="5">
        <v>0.11204</v>
      </c>
      <c r="E10">
        <v>65517.862000000001</v>
      </c>
      <c r="F10">
        <v>1050</v>
      </c>
      <c r="G10">
        <v>0</v>
      </c>
      <c r="H10">
        <v>0</v>
      </c>
      <c r="I10" t="s">
        <v>148</v>
      </c>
      <c r="K10" s="32">
        <v>0.2</v>
      </c>
      <c r="L10" s="32">
        <v>0.03</v>
      </c>
      <c r="M10" s="33">
        <v>3200</v>
      </c>
      <c r="N10" s="5">
        <f>Planets[[#This Row],[a]]*(1+Planets[[#This Row],[e]])</f>
        <v>3296</v>
      </c>
      <c r="O10" s="5">
        <f>Planets[[#This Row],[a]]*(1-Planets[[#This Row],[e]])</f>
        <v>3104</v>
      </c>
      <c r="P10" s="5" t="s">
        <v>104</v>
      </c>
      <c r="Q10" s="2"/>
      <c r="R10" s="2"/>
      <c r="S10" s="2"/>
    </row>
    <row r="11" spans="1:19" hidden="1" x14ac:dyDescent="0.25">
      <c r="A11" t="s">
        <v>106</v>
      </c>
      <c r="B11">
        <v>138</v>
      </c>
      <c r="C11">
        <v>21.484489</v>
      </c>
      <c r="D11" s="5">
        <v>0.11504</v>
      </c>
      <c r="E11">
        <v>34800</v>
      </c>
      <c r="F11">
        <v>32833</v>
      </c>
      <c r="G11">
        <v>0</v>
      </c>
      <c r="H11">
        <v>0</v>
      </c>
      <c r="I11" t="s">
        <v>148</v>
      </c>
      <c r="K11" s="32">
        <v>5</v>
      </c>
      <c r="L11" s="32">
        <v>0.14499999999999999</v>
      </c>
      <c r="M11" s="34">
        <v>40839348.203000002</v>
      </c>
      <c r="N11" s="5">
        <f>Planets[[#This Row],[a]]*(1+Planets[[#This Row],[e]])</f>
        <v>46761053.692435004</v>
      </c>
      <c r="O11" s="5">
        <f>Planets[[#This Row],[a]]*(1-Planets[[#This Row],[e]])</f>
        <v>34917642.713564999</v>
      </c>
      <c r="P11" s="5" t="s">
        <v>95</v>
      </c>
    </row>
    <row r="12" spans="1:19" hidden="1" x14ac:dyDescent="0.25">
      <c r="A12" t="s">
        <v>107</v>
      </c>
      <c r="B12">
        <v>6000</v>
      </c>
      <c r="C12" s="4">
        <v>282528</v>
      </c>
      <c r="D12" s="5">
        <v>0.80027000000000004</v>
      </c>
      <c r="E12">
        <v>36000</v>
      </c>
      <c r="F12">
        <v>2455985</v>
      </c>
      <c r="G12">
        <v>200</v>
      </c>
      <c r="H12">
        <v>15</v>
      </c>
      <c r="I12" t="s">
        <v>148</v>
      </c>
      <c r="K12" s="32">
        <v>1.304</v>
      </c>
      <c r="L12" s="32">
        <v>0.05</v>
      </c>
      <c r="M12" s="33">
        <v>68773560.319999993</v>
      </c>
      <c r="N12" s="5">
        <f>Planets[[#This Row],[a]]*(1+Planets[[#This Row],[e]])</f>
        <v>72212238.335999995</v>
      </c>
      <c r="O12" s="5">
        <f>Planets[[#This Row],[a]]*(1-Planets[[#This Row],[e]])</f>
        <v>65334882.30399999</v>
      </c>
      <c r="P12" s="5" t="s">
        <v>95</v>
      </c>
    </row>
    <row r="13" spans="1:19" hidden="1" x14ac:dyDescent="0.25">
      <c r="A13" t="s">
        <v>108</v>
      </c>
      <c r="B13">
        <v>500</v>
      </c>
      <c r="C13" s="4">
        <v>1962</v>
      </c>
      <c r="D13" s="5">
        <v>0.80027000000000004</v>
      </c>
      <c r="E13">
        <v>52980.879000000001</v>
      </c>
      <c r="F13">
        <v>3724</v>
      </c>
      <c r="G13">
        <v>50</v>
      </c>
      <c r="H13">
        <v>0.6</v>
      </c>
      <c r="I13" t="s">
        <v>148</v>
      </c>
      <c r="J13" t="s">
        <v>155</v>
      </c>
      <c r="K13" s="32">
        <v>0</v>
      </c>
      <c r="L13" s="32">
        <v>0</v>
      </c>
      <c r="M13" s="33">
        <v>27184</v>
      </c>
      <c r="N13" s="5">
        <f>Planets[[#This Row],[a]]*(1+Planets[[#This Row],[e]])</f>
        <v>27184</v>
      </c>
      <c r="O13" s="5">
        <f>Planets[[#This Row],[a]]*(1-Planets[[#This Row],[e]])</f>
        <v>27184</v>
      </c>
      <c r="P13" s="5" t="s">
        <v>107</v>
      </c>
    </row>
    <row r="14" spans="1:19" hidden="1" x14ac:dyDescent="0.25">
      <c r="A14" t="s">
        <v>109</v>
      </c>
      <c r="B14">
        <v>300</v>
      </c>
      <c r="C14">
        <v>207.48150000000001</v>
      </c>
      <c r="D14" s="5">
        <v>0.23508000000000001</v>
      </c>
      <c r="E14">
        <v>105962.09</v>
      </c>
      <c r="F14">
        <v>2406</v>
      </c>
      <c r="G14">
        <v>0</v>
      </c>
      <c r="H14">
        <v>0</v>
      </c>
      <c r="I14" t="s">
        <v>148</v>
      </c>
      <c r="K14" s="32">
        <v>0</v>
      </c>
      <c r="L14" s="32">
        <v>0</v>
      </c>
      <c r="M14" s="33">
        <v>43152</v>
      </c>
      <c r="N14" s="5">
        <f>Planets[[#This Row],[a]]*(1+Planets[[#This Row],[e]])</f>
        <v>43152</v>
      </c>
      <c r="O14" s="5">
        <f>Planets[[#This Row],[a]]*(1-Planets[[#This Row],[e]])</f>
        <v>43152</v>
      </c>
      <c r="P14" s="5" t="s">
        <v>107</v>
      </c>
    </row>
    <row r="15" spans="1:19" hidden="1" x14ac:dyDescent="0.25">
      <c r="A15" t="s">
        <v>110</v>
      </c>
      <c r="B15">
        <v>600</v>
      </c>
      <c r="C15">
        <v>2825.28</v>
      </c>
      <c r="D15" s="5">
        <v>0.80027000000000004</v>
      </c>
      <c r="E15">
        <v>211926.36</v>
      </c>
      <c r="F15">
        <v>10867</v>
      </c>
      <c r="G15">
        <v>0</v>
      </c>
      <c r="H15">
        <v>0</v>
      </c>
      <c r="I15" t="s">
        <v>148</v>
      </c>
      <c r="K15" s="32">
        <v>2.5000000000000001E-2</v>
      </c>
      <c r="L15" s="32">
        <v>0</v>
      </c>
      <c r="M15" s="33">
        <v>68500</v>
      </c>
      <c r="N15" s="5">
        <f>Planets[[#This Row],[a]]*(1+Planets[[#This Row],[e]])</f>
        <v>68500</v>
      </c>
      <c r="O15" s="5">
        <f>Planets[[#This Row],[a]]*(1-Planets[[#This Row],[e]])</f>
        <v>68500</v>
      </c>
      <c r="P15" s="5" t="s">
        <v>107</v>
      </c>
    </row>
    <row r="16" spans="1:19" hidden="1" x14ac:dyDescent="0.25">
      <c r="A16" t="s">
        <v>111</v>
      </c>
      <c r="B16">
        <v>65</v>
      </c>
      <c r="C16">
        <v>2.4868348999999998</v>
      </c>
      <c r="D16" s="5">
        <v>6.0019999999999997E-2</v>
      </c>
      <c r="E16">
        <v>544507.43000000005</v>
      </c>
      <c r="F16">
        <v>1221</v>
      </c>
      <c r="G16">
        <v>0</v>
      </c>
      <c r="H16">
        <v>0</v>
      </c>
      <c r="I16" t="s">
        <v>148</v>
      </c>
      <c r="K16" s="32">
        <v>15</v>
      </c>
      <c r="L16" s="32">
        <v>0.23499999999999999</v>
      </c>
      <c r="M16" s="33">
        <v>128500</v>
      </c>
      <c r="N16" s="5">
        <f>Planets[[#This Row],[a]]*(1+Planets[[#This Row],[e]])</f>
        <v>158697.49999999997</v>
      </c>
      <c r="O16" s="5">
        <f>Planets[[#This Row],[a]]*(1-Planets[[#This Row],[e]])</f>
        <v>98302.5</v>
      </c>
      <c r="P16" s="5" t="s">
        <v>107</v>
      </c>
    </row>
    <row r="17" spans="1:16" hidden="1" x14ac:dyDescent="0.25">
      <c r="A17" t="s">
        <v>112</v>
      </c>
      <c r="B17">
        <v>44</v>
      </c>
      <c r="C17">
        <v>0.72170208000000002</v>
      </c>
      <c r="D17" s="5">
        <v>3.8010000000000002E-2</v>
      </c>
      <c r="E17">
        <v>901902.62</v>
      </c>
      <c r="F17">
        <v>1042</v>
      </c>
      <c r="G17">
        <v>0</v>
      </c>
      <c r="H17">
        <v>0</v>
      </c>
      <c r="I17" t="s">
        <v>148</v>
      </c>
      <c r="K17" s="32">
        <v>4.25</v>
      </c>
      <c r="L17" s="32">
        <v>0.17100000000000001</v>
      </c>
      <c r="M17" s="33">
        <v>179890</v>
      </c>
      <c r="N17" s="5">
        <f>Planets[[#This Row],[a]]*(1+Planets[[#This Row],[e]])</f>
        <v>210651.19</v>
      </c>
      <c r="O17" s="5">
        <f>Planets[[#This Row],[a]]*(1-Planets[[#This Row],[e]])</f>
        <v>149128.81</v>
      </c>
      <c r="P17" s="5" t="s">
        <v>107</v>
      </c>
    </row>
    <row r="18" spans="1:16" hidden="1" x14ac:dyDescent="0.25">
      <c r="A18" t="s">
        <v>113</v>
      </c>
      <c r="B18">
        <v>210</v>
      </c>
      <c r="C18">
        <v>74.410814999999999</v>
      </c>
      <c r="D18" s="5">
        <v>0.17205999999999999</v>
      </c>
      <c r="E18">
        <v>19460</v>
      </c>
      <c r="F18">
        <v>119083</v>
      </c>
      <c r="G18">
        <v>0</v>
      </c>
      <c r="H18">
        <v>0</v>
      </c>
      <c r="I18" t="s">
        <v>148</v>
      </c>
      <c r="K18" s="32">
        <v>6.15</v>
      </c>
      <c r="L18" s="32">
        <v>0.26</v>
      </c>
      <c r="M18" s="33">
        <v>90118820</v>
      </c>
      <c r="N18" s="5">
        <f>Planets[[#This Row],[a]]*(1+Planets[[#This Row],[e]])</f>
        <v>113549713.2</v>
      </c>
      <c r="O18" s="5">
        <f>Planets[[#This Row],[a]]*(1-Planets[[#This Row],[e]])</f>
        <v>66687926.799999997</v>
      </c>
      <c r="P18" s="5" t="s">
        <v>95</v>
      </c>
    </row>
    <row r="19" spans="1:16" hidden="1" x14ac:dyDescent="0.25">
      <c r="A19" t="s">
        <v>151</v>
      </c>
      <c r="B19">
        <v>5300</v>
      </c>
      <c r="C19">
        <f>Planets[[#This Row],[Radius]]*Planets[[#This Row],[Radius]]*Planets[[#This Row],[Gravity]]*0.00980665</f>
        <v>82089.701952999996</v>
      </c>
      <c r="D19" s="5">
        <v>0.29799999999999999</v>
      </c>
      <c r="E19">
        <v>28500</v>
      </c>
      <c r="F19">
        <v>2740127</v>
      </c>
      <c r="G19">
        <v>580</v>
      </c>
      <c r="H19">
        <v>14</v>
      </c>
      <c r="I19" t="s">
        <v>184</v>
      </c>
      <c r="K19" s="32">
        <v>2.02</v>
      </c>
      <c r="L19" s="32">
        <v>5.3400000000000003E-2</v>
      </c>
      <c r="M19" s="33">
        <v>125798522.368</v>
      </c>
      <c r="N19" s="5">
        <f>Planets[[#This Row],[a]]*(1+Planets[[#This Row],[e]])</f>
        <v>132516163.46245119</v>
      </c>
      <c r="O19" s="5">
        <f>Planets[[#This Row],[a]]*(1-Planets[[#This Row],[e]])</f>
        <v>119080881.2735488</v>
      </c>
      <c r="P19" s="5" t="s">
        <v>95</v>
      </c>
    </row>
    <row r="20" spans="1:16" hidden="1" x14ac:dyDescent="0.25">
      <c r="A20" t="s">
        <v>156</v>
      </c>
      <c r="B20">
        <v>6</v>
      </c>
      <c r="C20">
        <f>Planets[[#This Row],[Radius]]*Planets[[#This Row],[Radius]]*Planets[[#This Row],[Gravity]]*0.00980665</f>
        <v>8.1199061999999997E-4</v>
      </c>
      <c r="D20" s="5">
        <v>2.3E-3</v>
      </c>
      <c r="E20">
        <v>23555.313835784335</v>
      </c>
      <c r="F20">
        <v>41</v>
      </c>
      <c r="G20">
        <v>0</v>
      </c>
      <c r="H20">
        <v>0</v>
      </c>
      <c r="I20" t="s">
        <v>184</v>
      </c>
      <c r="K20" s="32">
        <v>1</v>
      </c>
      <c r="L20" s="32">
        <v>0</v>
      </c>
      <c r="M20" s="33">
        <v>10488.231</v>
      </c>
      <c r="N20" s="5">
        <f>Planets[[#This Row],[a]]*(1+Planets[[#This Row],[e]])</f>
        <v>10488.231</v>
      </c>
      <c r="O20" s="5">
        <f>Planets[[#This Row],[a]]*(1-Planets[[#This Row],[e]])</f>
        <v>10488.231</v>
      </c>
      <c r="P20" s="5" t="s">
        <v>151</v>
      </c>
    </row>
    <row r="21" spans="1:16" hidden="1" x14ac:dyDescent="0.25">
      <c r="A21" t="s">
        <v>159</v>
      </c>
      <c r="B21">
        <v>26</v>
      </c>
      <c r="C21">
        <f>Planets[[#This Row],[Radius]]*Planets[[#This Row],[Radius]]*Planets[[#This Row],[Gravity]]*0.00980665</f>
        <v>1.3258590800000001E-2</v>
      </c>
      <c r="D21" s="5">
        <v>2E-3</v>
      </c>
      <c r="E21">
        <v>29440.147004930346</v>
      </c>
      <c r="F21">
        <v>94</v>
      </c>
      <c r="G21">
        <v>0</v>
      </c>
      <c r="H21">
        <v>0</v>
      </c>
      <c r="I21" t="s">
        <v>184</v>
      </c>
      <c r="K21" s="32">
        <v>1.5</v>
      </c>
      <c r="L21" s="32">
        <v>0.01</v>
      </c>
      <c r="M21" s="33">
        <v>12169.413</v>
      </c>
      <c r="N21" s="5">
        <f>Planets[[#This Row],[a]]*(1+Planets[[#This Row],[e]])</f>
        <v>12291.10713</v>
      </c>
      <c r="O21" s="5">
        <f>Planets[[#This Row],[a]]*(1-Planets[[#This Row],[e]])</f>
        <v>12047.718870000001</v>
      </c>
      <c r="P21" s="5" t="s">
        <v>151</v>
      </c>
    </row>
    <row r="22" spans="1:16" hidden="1" x14ac:dyDescent="0.25">
      <c r="A22" t="s">
        <v>113</v>
      </c>
      <c r="B22">
        <v>210</v>
      </c>
      <c r="C22">
        <v>74.410814999999999</v>
      </c>
      <c r="D22" s="5">
        <v>0.17205999999999999</v>
      </c>
      <c r="E22">
        <v>57914.783727801892</v>
      </c>
      <c r="F22">
        <v>1159</v>
      </c>
      <c r="G22">
        <v>0</v>
      </c>
      <c r="H22">
        <v>0</v>
      </c>
      <c r="I22" t="s">
        <v>184</v>
      </c>
      <c r="K22" s="32">
        <v>2.2999999999999998</v>
      </c>
      <c r="L22" s="32">
        <v>3.3999999999999998E-3</v>
      </c>
      <c r="M22" s="33">
        <v>19105.977999999999</v>
      </c>
      <c r="N22" s="5">
        <f>Planets[[#This Row],[a]]*(1+Planets[[#This Row],[e]])</f>
        <v>19170.938325200001</v>
      </c>
      <c r="O22" s="5">
        <f>Planets[[#This Row],[a]]*(1-Planets[[#This Row],[e]])</f>
        <v>19041.017674800001</v>
      </c>
      <c r="P22" s="5" t="s">
        <v>151</v>
      </c>
    </row>
    <row r="23" spans="1:16" hidden="1" x14ac:dyDescent="0.25">
      <c r="A23" t="s">
        <v>160</v>
      </c>
      <c r="B23">
        <v>540</v>
      </c>
      <c r="C23">
        <f>Planets[[#This Row],[Radius]]*Planets[[#This Row],[Radius]]*Planets[[#This Row],[Gravity]]*0.00980665</f>
        <v>1978.8564448799998</v>
      </c>
      <c r="D23" s="5">
        <v>0.69199999999999995</v>
      </c>
      <c r="E23">
        <v>192771.15453466011</v>
      </c>
      <c r="F23">
        <v>9598</v>
      </c>
      <c r="G23">
        <v>0</v>
      </c>
      <c r="H23">
        <v>0</v>
      </c>
      <c r="I23" t="s">
        <v>184</v>
      </c>
      <c r="K23" s="32">
        <v>2.2999999999999998</v>
      </c>
      <c r="L23" s="32">
        <v>0.04</v>
      </c>
      <c r="M23" s="33">
        <v>42592.946000000004</v>
      </c>
      <c r="N23" s="5">
        <f>Planets[[#This Row],[a]]*(1+Planets[[#This Row],[e]])</f>
        <v>44296.663840000008</v>
      </c>
      <c r="O23" s="5">
        <f>Planets[[#This Row],[a]]*(1-Planets[[#This Row],[e]])</f>
        <v>40889.228159999999</v>
      </c>
      <c r="P23" s="5" t="s">
        <v>151</v>
      </c>
    </row>
    <row r="24" spans="1:16" hidden="1" x14ac:dyDescent="0.25">
      <c r="A24" t="s">
        <v>161</v>
      </c>
      <c r="B24">
        <v>280</v>
      </c>
      <c r="C24">
        <f>Planets[[#This Row],[Radius]]*Planets[[#This Row],[Radius]]*Planets[[#This Row],[Gravity]]*0.00980665</f>
        <v>192.440992408</v>
      </c>
      <c r="D24" s="5">
        <v>0.25030000000000002</v>
      </c>
      <c r="E24">
        <v>666154.48276208236</v>
      </c>
      <c r="F24">
        <v>8637</v>
      </c>
      <c r="G24">
        <v>95</v>
      </c>
      <c r="H24">
        <v>1.23</v>
      </c>
      <c r="I24" t="s">
        <v>184</v>
      </c>
      <c r="K24" s="32">
        <v>9.4</v>
      </c>
      <c r="L24" s="32">
        <v>2.8000000000000001E-2</v>
      </c>
      <c r="M24" s="33">
        <v>97355.304000000004</v>
      </c>
      <c r="N24" s="5">
        <f>Planets[[#This Row],[a]]*(1+Planets[[#This Row],[e]])</f>
        <v>100081.25251200001</v>
      </c>
      <c r="O24" s="5">
        <f>Planets[[#This Row],[a]]*(1-Planets[[#This Row],[e]])</f>
        <v>94629.355488000001</v>
      </c>
      <c r="P24" s="5" t="s">
        <v>151</v>
      </c>
    </row>
    <row r="25" spans="1:16" hidden="1" x14ac:dyDescent="0.25">
      <c r="A25" t="s">
        <v>152</v>
      </c>
      <c r="B25">
        <v>2177</v>
      </c>
      <c r="C25">
        <f>Planets[[#This Row],[Radius]]*Planets[[#This Row],[Radius]]*Planets[[#This Row],[Gravity]]*0.00980665</f>
        <v>11944.57376962745</v>
      </c>
      <c r="D25" s="5">
        <v>0.25700000000000001</v>
      </c>
      <c r="E25">
        <v>41000</v>
      </c>
      <c r="F25">
        <v>2562261</v>
      </c>
      <c r="G25">
        <v>325</v>
      </c>
      <c r="H25">
        <v>7</v>
      </c>
      <c r="I25" t="s">
        <v>184</v>
      </c>
      <c r="K25" s="32">
        <v>0.64</v>
      </c>
      <c r="L25" s="32">
        <v>4.5214674000000003E-2</v>
      </c>
      <c r="M25" s="33">
        <v>254317012.787</v>
      </c>
      <c r="N25" s="5">
        <f>Planets[[#This Row],[a]]*(1+Planets[[#This Row],[e]])</f>
        <v>265815873.612818</v>
      </c>
      <c r="O25" s="5">
        <f>Planets[[#This Row],[a]]*(1-Planets[[#This Row],[e]])</f>
        <v>242818151.96118197</v>
      </c>
      <c r="P25" s="5" t="s">
        <v>95</v>
      </c>
    </row>
    <row r="26" spans="1:16" hidden="1" x14ac:dyDescent="0.25">
      <c r="A26" t="s">
        <v>162</v>
      </c>
      <c r="B26">
        <v>220</v>
      </c>
      <c r="C26">
        <f>Planets[[#This Row],[Radius]]*Planets[[#This Row],[Radius]]*Planets[[#This Row],[Gravity]]*0.00980665</f>
        <v>90.181953399999998</v>
      </c>
      <c r="D26" s="5">
        <v>0.19</v>
      </c>
      <c r="E26">
        <v>73017.110638165599</v>
      </c>
      <c r="F26">
        <v>1661</v>
      </c>
      <c r="G26">
        <v>0</v>
      </c>
      <c r="H26">
        <v>0</v>
      </c>
      <c r="I26" t="s">
        <v>184</v>
      </c>
      <c r="K26" s="32">
        <v>2.4500000000000002</v>
      </c>
      <c r="L26" s="32">
        <v>1.5E-3</v>
      </c>
      <c r="M26" s="33">
        <v>11727.895</v>
      </c>
      <c r="N26" s="5">
        <f>Planets[[#This Row],[a]]*(1+Planets[[#This Row],[e]])</f>
        <v>11745.4868425</v>
      </c>
      <c r="O26" s="5">
        <f>Planets[[#This Row],[a]]*(1-Planets[[#This Row],[e]])</f>
        <v>11710.3031575</v>
      </c>
      <c r="P26" s="5" t="s">
        <v>152</v>
      </c>
    </row>
    <row r="27" spans="1:16" hidden="1" x14ac:dyDescent="0.25">
      <c r="A27" t="s">
        <v>163</v>
      </c>
      <c r="B27">
        <v>74</v>
      </c>
      <c r="C27">
        <f>Planets[[#This Row],[Radius]]*Planets[[#This Row],[Radius]]*Planets[[#This Row],[Gravity]]*0.00980665</f>
        <v>3.3831765701999998</v>
      </c>
      <c r="D27" s="5">
        <v>6.3E-2</v>
      </c>
      <c r="E27">
        <v>73017.110638165599</v>
      </c>
      <c r="F27">
        <v>447</v>
      </c>
      <c r="G27">
        <v>0</v>
      </c>
      <c r="H27">
        <v>0</v>
      </c>
      <c r="I27" t="s">
        <v>184</v>
      </c>
      <c r="K27" s="32">
        <v>2.5</v>
      </c>
      <c r="L27" s="32">
        <v>1.5E-3</v>
      </c>
      <c r="M27" s="33">
        <v>11727.895</v>
      </c>
      <c r="N27" s="5">
        <f>Planets[[#This Row],[a]]*(1+Planets[[#This Row],[e]])</f>
        <v>11745.4868425</v>
      </c>
      <c r="O27" s="5">
        <f>Planets[[#This Row],[a]]*(1-Planets[[#This Row],[e]])</f>
        <v>11710.3031575</v>
      </c>
      <c r="P27" s="5" t="s">
        <v>152</v>
      </c>
    </row>
    <row r="28" spans="1:16" hidden="1" x14ac:dyDescent="0.25">
      <c r="A28" t="s">
        <v>164</v>
      </c>
      <c r="B28">
        <v>370</v>
      </c>
      <c r="C28">
        <f>Planets[[#This Row],[Radius]]*Planets[[#This Row],[Radius]]*Planets[[#This Row],[Gravity]]*0.00980665</f>
        <v>496.73624245000002</v>
      </c>
      <c r="D28" s="5">
        <v>0.37</v>
      </c>
      <c r="E28">
        <v>1009410.7895331219</v>
      </c>
      <c r="F28">
        <v>18934</v>
      </c>
      <c r="G28">
        <v>0</v>
      </c>
      <c r="H28">
        <v>0</v>
      </c>
      <c r="I28" t="s">
        <v>184</v>
      </c>
      <c r="K28" s="32">
        <v>1.9</v>
      </c>
      <c r="L28" s="32">
        <v>2.3E-2</v>
      </c>
      <c r="M28" s="33">
        <v>67553.668000000005</v>
      </c>
      <c r="N28" s="5">
        <f>Planets[[#This Row],[a]]*(1+Planets[[#This Row],[e]])</f>
        <v>69107.402363999994</v>
      </c>
      <c r="O28" s="5">
        <f>Planets[[#This Row],[a]]*(1-Planets[[#This Row],[e]])</f>
        <v>65999.933636000002</v>
      </c>
      <c r="P28" s="5" t="s">
        <v>152</v>
      </c>
    </row>
    <row r="29" spans="1:16" hidden="1" x14ac:dyDescent="0.25">
      <c r="A29" t="s">
        <v>165</v>
      </c>
      <c r="B29">
        <v>22</v>
      </c>
      <c r="C29">
        <f>Planets[[#This Row],[Radius]]*Planets[[#This Row],[Radius]]*Planets[[#This Row],[Gravity]]*0.00980665</f>
        <v>0.21358883699999998</v>
      </c>
      <c r="D29" s="5">
        <v>4.4999999999999998E-2</v>
      </c>
      <c r="E29">
        <v>48874.483503678559</v>
      </c>
      <c r="F29">
        <v>140</v>
      </c>
      <c r="G29">
        <v>0</v>
      </c>
      <c r="H29">
        <v>0</v>
      </c>
      <c r="I29" t="s">
        <v>184</v>
      </c>
      <c r="K29" s="32">
        <v>1.9</v>
      </c>
      <c r="L29" s="32">
        <v>0</v>
      </c>
      <c r="M29" s="33">
        <v>3109.163</v>
      </c>
      <c r="N29" s="5">
        <f>Planets[[#This Row],[a]]*(1+Planets[[#This Row],[e]])</f>
        <v>3109.163</v>
      </c>
      <c r="O29" s="5">
        <f>Planets[[#This Row],[a]]*(1-Planets[[#This Row],[e]])</f>
        <v>3109.163</v>
      </c>
      <c r="P29" s="5" t="s">
        <v>164</v>
      </c>
    </row>
    <row r="30" spans="1:16" hidden="1" x14ac:dyDescent="0.25">
      <c r="A30" t="s">
        <v>149</v>
      </c>
      <c r="B30">
        <v>2145</v>
      </c>
      <c r="C30">
        <f>Planets[[#This Row],[Radius]]*Planets[[#This Row],[Radius]]*Planets[[#This Row],[Gravity]]*0.00980665</f>
        <v>14167.8815303025</v>
      </c>
      <c r="D30" s="5">
        <v>0.314</v>
      </c>
      <c r="E30">
        <v>40250</v>
      </c>
      <c r="F30">
        <v>4415724</v>
      </c>
      <c r="G30">
        <v>260</v>
      </c>
      <c r="H30">
        <v>6</v>
      </c>
      <c r="I30" t="s">
        <v>184</v>
      </c>
      <c r="K30" s="32">
        <v>1.27</v>
      </c>
      <c r="L30" s="32">
        <v>1.2756699999999999E-2</v>
      </c>
      <c r="M30" s="33">
        <v>409355191.70599997</v>
      </c>
      <c r="N30" s="5">
        <f>Planets[[#This Row],[a]]*(1+Planets[[#This Row],[e]])</f>
        <v>414577213.08003587</v>
      </c>
      <c r="O30" s="5">
        <f>Planets[[#This Row],[a]]*(1-Planets[[#This Row],[e]])</f>
        <v>404133170.33196408</v>
      </c>
      <c r="P30" s="5" t="s">
        <v>95</v>
      </c>
    </row>
    <row r="31" spans="1:16" hidden="1" x14ac:dyDescent="0.25">
      <c r="A31" t="s">
        <v>167</v>
      </c>
      <c r="B31">
        <v>286</v>
      </c>
      <c r="C31">
        <f>Planets[[#This Row],[Radius]]*Planets[[#This Row],[Radius]]*Planets[[#This Row],[Gravity]]*0.00980665</f>
        <v>186.09758046880003</v>
      </c>
      <c r="D31" s="5">
        <v>0.23200000000000001</v>
      </c>
      <c r="E31">
        <v>306442.67447892437</v>
      </c>
      <c r="F31">
        <v>5709</v>
      </c>
      <c r="G31">
        <v>35</v>
      </c>
      <c r="H31">
        <v>0.01</v>
      </c>
      <c r="I31" t="s">
        <v>184</v>
      </c>
      <c r="K31" s="32">
        <v>161.1</v>
      </c>
      <c r="L31" s="32">
        <v>4.2999999999999999E-4</v>
      </c>
      <c r="M31" s="33">
        <v>32300.895</v>
      </c>
      <c r="N31" s="5">
        <f>Planets[[#This Row],[a]]*(1+Planets[[#This Row],[e]])</f>
        <v>32314.784384849998</v>
      </c>
      <c r="O31" s="5">
        <f>Planets[[#This Row],[a]]*(1-Planets[[#This Row],[e]])</f>
        <v>32287.005615149999</v>
      </c>
      <c r="P31" s="5" t="s">
        <v>149</v>
      </c>
    </row>
    <row r="32" spans="1:16" hidden="1" x14ac:dyDescent="0.25">
      <c r="A32" t="s">
        <v>166</v>
      </c>
      <c r="B32">
        <v>30</v>
      </c>
      <c r="C32">
        <f>Planets[[#This Row],[Radius]]*Planets[[#This Row],[Radius]]*Planets[[#This Row],[Gravity]]*0.00980665</f>
        <v>0.39716932500000002</v>
      </c>
      <c r="D32" s="5">
        <v>4.4999999999999998E-2</v>
      </c>
      <c r="E32">
        <v>27924.872299999999</v>
      </c>
      <c r="F32">
        <v>7366</v>
      </c>
      <c r="G32">
        <v>0</v>
      </c>
      <c r="H32">
        <v>0</v>
      </c>
      <c r="I32" t="s">
        <v>184</v>
      </c>
      <c r="K32" s="32">
        <v>29.56</v>
      </c>
      <c r="L32" s="32">
        <v>0.72</v>
      </c>
      <c r="M32" s="33">
        <v>487743.51400000002</v>
      </c>
      <c r="N32" s="5">
        <f>Planets[[#This Row],[a]]*(1+Planets[[#This Row],[e]])</f>
        <v>838918.84408000007</v>
      </c>
      <c r="O32" s="5">
        <f>Planets[[#This Row],[a]]*(1-Planets[[#This Row],[e]])</f>
        <v>136568.18392000001</v>
      </c>
      <c r="P32" s="5" t="s">
        <v>149</v>
      </c>
    </row>
    <row r="33" spans="1:16" hidden="1" x14ac:dyDescent="0.25">
      <c r="A33" t="s">
        <v>150</v>
      </c>
      <c r="B33">
        <v>189</v>
      </c>
      <c r="C33">
        <f>Planets[[#This Row],[Radius]]*Planets[[#This Row],[Radius]]*Planets[[#This Row],[Gravity]]*0.00980665</f>
        <v>51.844895008199998</v>
      </c>
      <c r="D33" s="5">
        <v>0.14799999999999999</v>
      </c>
      <c r="E33">
        <v>106309.60698905399</v>
      </c>
      <c r="F33">
        <v>612762</v>
      </c>
      <c r="G33">
        <v>0</v>
      </c>
      <c r="H33">
        <v>0</v>
      </c>
      <c r="I33" t="s">
        <v>184</v>
      </c>
      <c r="K33" s="32">
        <v>6.15</v>
      </c>
      <c r="L33" s="32">
        <v>0.26</v>
      </c>
      <c r="M33" s="33">
        <v>535833706.08600003</v>
      </c>
      <c r="N33" s="5">
        <f>Planets[[#This Row],[a]]*(1+Planets[[#This Row],[e]])</f>
        <v>675150469.66835999</v>
      </c>
      <c r="O33" s="5">
        <f>Planets[[#This Row],[a]]*(1-Planets[[#This Row],[e]])</f>
        <v>396516942.50364</v>
      </c>
      <c r="P33" s="5" t="s">
        <v>95</v>
      </c>
    </row>
    <row r="34" spans="1:16" hidden="1" x14ac:dyDescent="0.25">
      <c r="A34" t="s">
        <v>153</v>
      </c>
      <c r="B34">
        <v>85.05</v>
      </c>
      <c r="C34">
        <f>Planets[[#This Row],[Radius]]*Planets[[#This Row],[Radius]]*Planets[[#This Row],[Gravity]]*0.00980665</f>
        <v>4.6818042012472496</v>
      </c>
      <c r="D34" s="5">
        <v>6.6000000000000003E-2</v>
      </c>
      <c r="E34">
        <v>106327.76338163798</v>
      </c>
      <c r="F34">
        <v>939</v>
      </c>
      <c r="G34">
        <v>0</v>
      </c>
      <c r="H34">
        <v>0</v>
      </c>
      <c r="I34" t="s">
        <v>184</v>
      </c>
      <c r="K34" s="32">
        <v>0</v>
      </c>
      <c r="L34" s="32">
        <v>0</v>
      </c>
      <c r="M34" s="33">
        <v>2457.8000000000002</v>
      </c>
      <c r="N34" s="5">
        <f>Planets[[#This Row],[a]]*(1+Planets[[#This Row],[e]])</f>
        <v>2457.8000000000002</v>
      </c>
      <c r="O34" s="5">
        <f>Planets[[#This Row],[a]]*(1-Planets[[#This Row],[e]])</f>
        <v>2457.8000000000002</v>
      </c>
      <c r="P34" s="5" t="s">
        <v>150</v>
      </c>
    </row>
    <row r="35" spans="1:16" hidden="1" x14ac:dyDescent="0.25">
      <c r="A35" t="s">
        <v>170</v>
      </c>
      <c r="B35">
        <v>30170</v>
      </c>
      <c r="C35">
        <f>Planets[[#This Row],[Radius]]*Planets[[#This Row],[Radius]]*Planets[[#This Row],[Gravity]]*0.00980665</f>
        <v>637337551.69200909</v>
      </c>
      <c r="D35" s="5">
        <v>71.400000000000006</v>
      </c>
      <c r="E35">
        <v>1296000</v>
      </c>
      <c r="F35">
        <v>500000000</v>
      </c>
      <c r="G35">
        <v>400</v>
      </c>
      <c r="H35">
        <v>0.1</v>
      </c>
      <c r="I35" t="s">
        <v>171</v>
      </c>
      <c r="K35">
        <v>7</v>
      </c>
      <c r="L35">
        <v>0.4</v>
      </c>
      <c r="M35" s="5">
        <v>2000000000</v>
      </c>
      <c r="N35" s="5">
        <f>Planets[[#This Row],[a]]*(1+Planets[[#This Row],[e]])</f>
        <v>2800000000</v>
      </c>
      <c r="O35" s="5">
        <f>Planets[[#This Row],[a]]*(1-Planets[[#This Row],[e]])</f>
        <v>1200000000</v>
      </c>
      <c r="P35" s="5" t="s">
        <v>95</v>
      </c>
    </row>
    <row r="36" spans="1:16" hidden="1" x14ac:dyDescent="0.25">
      <c r="A36" t="s">
        <v>173</v>
      </c>
      <c r="B36">
        <v>200</v>
      </c>
      <c r="C36">
        <f>Planets[[#This Row],[Radius]]*Planets[[#This Row],[Radius]]*Planets[[#This Row],[Gravity]]*0.00980665</f>
        <v>78.453199999999995</v>
      </c>
      <c r="D36" s="5">
        <v>0.2</v>
      </c>
      <c r="E36">
        <v>32995.532098572839</v>
      </c>
      <c r="F36">
        <v>448</v>
      </c>
      <c r="G36">
        <v>0</v>
      </c>
      <c r="H36">
        <v>0</v>
      </c>
      <c r="I36" t="s">
        <v>171</v>
      </c>
      <c r="K36">
        <v>9</v>
      </c>
      <c r="L36">
        <v>0.02</v>
      </c>
      <c r="M36" s="5">
        <v>260000</v>
      </c>
      <c r="N36" s="5">
        <f>Planets[[#This Row],[a]]*(1+Planets[[#This Row],[e]])</f>
        <v>265200</v>
      </c>
      <c r="O36" s="5">
        <f>Planets[[#This Row],[a]]*(1-Planets[[#This Row],[e]])</f>
        <v>254800</v>
      </c>
      <c r="P36" t="s">
        <v>170</v>
      </c>
    </row>
    <row r="37" spans="1:16" hidden="1" x14ac:dyDescent="0.25">
      <c r="A37" t="s">
        <v>174</v>
      </c>
      <c r="B37">
        <v>700</v>
      </c>
      <c r="C37">
        <f>Planets[[#This Row],[Radius]]*Planets[[#This Row],[Radius]]*Planets[[#This Row],[Gravity]]*0.00980665</f>
        <v>5285.7843499999999</v>
      </c>
      <c r="D37" s="5">
        <v>1.1000000000000001</v>
      </c>
      <c r="E37">
        <v>243000</v>
      </c>
      <c r="F37">
        <v>23011</v>
      </c>
      <c r="G37">
        <v>72</v>
      </c>
      <c r="H37">
        <v>2</v>
      </c>
      <c r="I37" t="s">
        <v>171</v>
      </c>
      <c r="J37" t="s">
        <v>155</v>
      </c>
      <c r="K37">
        <v>10</v>
      </c>
      <c r="L37">
        <v>0.02</v>
      </c>
      <c r="M37" s="5">
        <v>2479975.7467868002</v>
      </c>
      <c r="N37" s="5">
        <f>Planets[[#This Row],[a]]*(1+Planets[[#This Row],[e]])</f>
        <v>2529575.2617225363</v>
      </c>
      <c r="O37" s="5">
        <f>Planets[[#This Row],[a]]*(1-Planets[[#This Row],[e]])</f>
        <v>2430376.2318510641</v>
      </c>
      <c r="P37" t="s">
        <v>170</v>
      </c>
    </row>
    <row r="38" spans="1:16" hidden="1" x14ac:dyDescent="0.25">
      <c r="A38" t="s">
        <v>175</v>
      </c>
      <c r="B38">
        <v>250</v>
      </c>
      <c r="C38">
        <f>Planets[[#This Row],[Radius]]*Planets[[#This Row],[Radius]]*Planets[[#This Row],[Gravity]]*0.00980665</f>
        <v>165.48721875000001</v>
      </c>
      <c r="D38" s="5">
        <v>0.27</v>
      </c>
      <c r="E38">
        <v>242999.99986790415</v>
      </c>
      <c r="F38">
        <v>4984</v>
      </c>
      <c r="G38">
        <v>0</v>
      </c>
      <c r="H38">
        <v>0</v>
      </c>
      <c r="I38" t="s">
        <v>171</v>
      </c>
      <c r="K38">
        <v>9.5</v>
      </c>
      <c r="L38">
        <v>2.5000000000000001E-2</v>
      </c>
      <c r="M38" s="5">
        <v>19921.441040349699</v>
      </c>
      <c r="N38" s="5">
        <f>Planets[[#This Row],[a]]*(1+Planets[[#This Row],[e]])</f>
        <v>20419.477066358439</v>
      </c>
      <c r="O38" s="5">
        <f>Planets[[#This Row],[a]]*(1-Planets[[#This Row],[e]])</f>
        <v>19423.405014340955</v>
      </c>
      <c r="P38" t="s">
        <v>174</v>
      </c>
    </row>
    <row r="39" spans="1:16" hidden="1" x14ac:dyDescent="0.25">
      <c r="A39" t="s">
        <v>176</v>
      </c>
      <c r="B39">
        <v>3000</v>
      </c>
      <c r="C39">
        <f>Planets[[#This Row],[Radius]]*Planets[[#This Row],[Radius]]*Planets[[#This Row],[Gravity]]*0.00980665</f>
        <v>88259.85</v>
      </c>
      <c r="D39" s="5">
        <v>1</v>
      </c>
      <c r="E39">
        <v>57600</v>
      </c>
      <c r="F39">
        <v>340490</v>
      </c>
      <c r="G39">
        <v>540</v>
      </c>
      <c r="H39">
        <v>15</v>
      </c>
      <c r="I39" t="s">
        <v>171</v>
      </c>
      <c r="K39">
        <v>10</v>
      </c>
      <c r="L39">
        <v>0.04</v>
      </c>
      <c r="M39" s="5">
        <v>11900000</v>
      </c>
      <c r="N39" s="5">
        <f>Planets[[#This Row],[a]]*(1+Planets[[#This Row],[e]])</f>
        <v>12376000</v>
      </c>
      <c r="O39" s="5">
        <f>Planets[[#This Row],[a]]*(1-Planets[[#This Row],[e]])</f>
        <v>11424000</v>
      </c>
      <c r="P39" t="s">
        <v>170</v>
      </c>
    </row>
    <row r="40" spans="1:16" hidden="1" x14ac:dyDescent="0.25">
      <c r="A40" t="s">
        <v>177</v>
      </c>
      <c r="B40">
        <v>160</v>
      </c>
      <c r="C40">
        <f>Planets[[#This Row],[Radius]]*Planets[[#This Row],[Radius]]*Planets[[#This Row],[Gravity]]*0.00980665</f>
        <v>37.657536</v>
      </c>
      <c r="D40" s="5">
        <v>0.15</v>
      </c>
      <c r="E40">
        <v>138484.23693166437</v>
      </c>
      <c r="F40">
        <v>1571</v>
      </c>
      <c r="G40">
        <v>0</v>
      </c>
      <c r="H40">
        <v>0</v>
      </c>
      <c r="I40" t="s">
        <v>171</v>
      </c>
      <c r="K40">
        <v>1</v>
      </c>
      <c r="L40">
        <v>0.01</v>
      </c>
      <c r="M40" s="5">
        <v>35000</v>
      </c>
      <c r="N40" s="5">
        <f>Planets[[#This Row],[a]]*(1+Planets[[#This Row],[e]])</f>
        <v>35350</v>
      </c>
      <c r="O40" s="5">
        <f>Planets[[#This Row],[a]]*(1-Planets[[#This Row],[e]])</f>
        <v>34650</v>
      </c>
      <c r="P40" t="s">
        <v>176</v>
      </c>
    </row>
    <row r="41" spans="1:16" hidden="1" x14ac:dyDescent="0.25">
      <c r="A41" t="s">
        <v>178</v>
      </c>
      <c r="B41">
        <v>300</v>
      </c>
      <c r="C41">
        <f>Planets[[#This Row],[Radius]]*Planets[[#This Row],[Radius]]*Planets[[#This Row],[Gravity]]*0.00980665</f>
        <v>308.90947499999999</v>
      </c>
      <c r="D41" s="5">
        <v>0.35</v>
      </c>
      <c r="E41">
        <v>391692.57208729762</v>
      </c>
      <c r="F41">
        <v>7290</v>
      </c>
      <c r="G41">
        <v>72</v>
      </c>
      <c r="H41">
        <v>0.15</v>
      </c>
      <c r="I41" t="s">
        <v>171</v>
      </c>
      <c r="K41">
        <v>0.5</v>
      </c>
      <c r="L41">
        <v>0.02</v>
      </c>
      <c r="M41" s="5">
        <v>70000</v>
      </c>
      <c r="N41" s="5">
        <f>Planets[[#This Row],[a]]*(1+Planets[[#This Row],[e]])</f>
        <v>71400</v>
      </c>
      <c r="O41" s="5">
        <f>Planets[[#This Row],[a]]*(1-Planets[[#This Row],[e]])</f>
        <v>68600</v>
      </c>
      <c r="P41" t="s">
        <v>176</v>
      </c>
    </row>
    <row r="42" spans="1:16" hidden="1" x14ac:dyDescent="0.25">
      <c r="A42" t="s">
        <v>179</v>
      </c>
      <c r="B42">
        <v>80</v>
      </c>
      <c r="C42">
        <f>Planets[[#This Row],[Radius]]*Planets[[#This Row],[Radius]]*Planets[[#This Row],[Gravity]]*0.00980665</f>
        <v>3.7657536</v>
      </c>
      <c r="D42" s="5">
        <v>0.06</v>
      </c>
      <c r="E42">
        <v>879164.50322056573</v>
      </c>
      <c r="F42">
        <v>2144</v>
      </c>
      <c r="G42">
        <v>0</v>
      </c>
      <c r="H42">
        <v>0</v>
      </c>
      <c r="I42" t="s">
        <v>171</v>
      </c>
      <c r="K42">
        <v>4</v>
      </c>
      <c r="L42">
        <v>0.05</v>
      </c>
      <c r="M42" s="5">
        <v>120000</v>
      </c>
      <c r="N42" s="5">
        <f>Planets[[#This Row],[a]]*(1+Planets[[#This Row],[e]])</f>
        <v>126000</v>
      </c>
      <c r="O42" s="5">
        <f>Planets[[#This Row],[a]]*(1-Planets[[#This Row],[e]])</f>
        <v>114000</v>
      </c>
      <c r="P42" t="s">
        <v>176</v>
      </c>
    </row>
    <row r="43" spans="1:16" hidden="1" x14ac:dyDescent="0.25">
      <c r="A43" t="s">
        <v>180</v>
      </c>
      <c r="B43">
        <v>500</v>
      </c>
      <c r="C43">
        <f>Planets[[#This Row],[Radius]]*Planets[[#This Row],[Radius]]*Planets[[#This Row],[Gravity]]*0.00980665</f>
        <v>1470.9974999999999</v>
      </c>
      <c r="D43" s="5">
        <v>0.6</v>
      </c>
      <c r="E43">
        <v>36000</v>
      </c>
      <c r="F43">
        <v>130727</v>
      </c>
      <c r="G43">
        <v>41</v>
      </c>
      <c r="I43" t="s">
        <v>171</v>
      </c>
      <c r="K43">
        <v>11</v>
      </c>
      <c r="L43">
        <v>0.06</v>
      </c>
      <c r="M43" s="5">
        <v>23500000</v>
      </c>
      <c r="N43" s="5">
        <f>Planets[[#This Row],[a]]*(1+Planets[[#This Row],[e]])</f>
        <v>24910000</v>
      </c>
      <c r="O43" s="5">
        <f>Planets[[#This Row],[a]]*(1-Planets[[#This Row],[e]])</f>
        <v>22090000</v>
      </c>
      <c r="P43" t="s">
        <v>170</v>
      </c>
    </row>
    <row r="44" spans="1:16" hidden="1" x14ac:dyDescent="0.25">
      <c r="A44" t="s">
        <v>181</v>
      </c>
      <c r="B44">
        <v>50</v>
      </c>
      <c r="C44">
        <f>Planets[[#This Row],[Radius]]*Planets[[#This Row],[Radius]]*Planets[[#This Row],[Gravity]]*0.00980665</f>
        <v>0.73549874999999998</v>
      </c>
      <c r="D44" s="5">
        <v>0.03</v>
      </c>
      <c r="E44">
        <v>363117.58646836621</v>
      </c>
      <c r="F44">
        <v>813</v>
      </c>
      <c r="G44">
        <v>0</v>
      </c>
      <c r="H44">
        <v>0</v>
      </c>
      <c r="I44" t="s">
        <v>171</v>
      </c>
      <c r="K44">
        <v>6</v>
      </c>
      <c r="L44">
        <v>7.0000000000000007E-2</v>
      </c>
      <c r="M44" s="5">
        <v>17000</v>
      </c>
      <c r="N44" s="5">
        <f>Planets[[#This Row],[a]]*(1+Planets[[#This Row],[e]])</f>
        <v>18190</v>
      </c>
      <c r="O44" s="5">
        <f>Planets[[#This Row],[a]]*(1-Planets[[#This Row],[e]])</f>
        <v>15809.999999999998</v>
      </c>
      <c r="P44" t="s">
        <v>180</v>
      </c>
    </row>
    <row r="45" spans="1:16" hidden="1" x14ac:dyDescent="0.25">
      <c r="A45" t="s">
        <v>182</v>
      </c>
      <c r="B45">
        <v>10</v>
      </c>
      <c r="C45">
        <f>Planets[[#This Row],[Radius]]*Planets[[#This Row],[Radius]]*Planets[[#This Row],[Gravity]]*0.00980665</f>
        <v>4.903325E-3</v>
      </c>
      <c r="D45" s="5">
        <v>5.0000000000000001E-3</v>
      </c>
      <c r="E45">
        <v>14400</v>
      </c>
      <c r="F45">
        <v>580</v>
      </c>
      <c r="G45">
        <v>0</v>
      </c>
      <c r="H45">
        <v>0</v>
      </c>
      <c r="I45" t="s">
        <v>171</v>
      </c>
      <c r="K45">
        <v>-160</v>
      </c>
      <c r="L45">
        <v>0.4</v>
      </c>
      <c r="M45" s="5">
        <v>90000</v>
      </c>
      <c r="N45" s="5">
        <f>Planets[[#This Row],[a]]*(1+Planets[[#This Row],[e]])</f>
        <v>125999.99999999999</v>
      </c>
      <c r="O45" s="5">
        <f>Planets[[#This Row],[a]]*(1-Planets[[#This Row],[e]])</f>
        <v>54000</v>
      </c>
      <c r="P45" t="s">
        <v>180</v>
      </c>
    </row>
    <row r="46" spans="1:16" hidden="1" x14ac:dyDescent="0.25">
      <c r="A46" t="s">
        <v>183</v>
      </c>
      <c r="B46">
        <v>120</v>
      </c>
      <c r="C46">
        <f>Planets[[#This Row],[Radius]]*Planets[[#This Row],[Radius]]*Planets[[#This Row],[Gravity]]*0.00980665</f>
        <v>9.8851032000000014</v>
      </c>
      <c r="D46" s="5">
        <v>7.0000000000000007E-2</v>
      </c>
      <c r="E46">
        <v>21600</v>
      </c>
      <c r="F46">
        <v>28051</v>
      </c>
      <c r="G46">
        <v>0</v>
      </c>
      <c r="H46">
        <v>0</v>
      </c>
      <c r="I46" t="s">
        <v>171</v>
      </c>
      <c r="K46">
        <v>4</v>
      </c>
      <c r="L46">
        <v>0.17499999999999999</v>
      </c>
      <c r="M46" s="5">
        <v>37300000</v>
      </c>
      <c r="N46" s="5">
        <f>Planets[[#This Row],[a]]*(1+Planets[[#This Row],[e]])</f>
        <v>43827500</v>
      </c>
      <c r="O46" s="5">
        <f>Planets[[#This Row],[a]]*(1-Planets[[#This Row],[e]])</f>
        <v>30772500</v>
      </c>
      <c r="P46" t="s">
        <v>170</v>
      </c>
    </row>
    <row r="47" spans="1:16" hidden="1" x14ac:dyDescent="0.25">
      <c r="A47" t="s">
        <v>186</v>
      </c>
      <c r="B47" s="2">
        <v>32784.734857265998</v>
      </c>
      <c r="C47">
        <f>Planets[[#This Row],[Radius]]*Planets[[#This Row],[Radius]]*Planets[[#This Row],[Gravity]]*0.00980665</f>
        <v>518305041.01734793</v>
      </c>
      <c r="D47" s="5">
        <v>49.172400000000003</v>
      </c>
      <c r="E47">
        <v>432000</v>
      </c>
      <c r="F47">
        <v>2444252469</v>
      </c>
      <c r="G47">
        <v>600</v>
      </c>
      <c r="H47">
        <v>0.1</v>
      </c>
      <c r="I47" t="s">
        <v>185</v>
      </c>
      <c r="K47">
        <v>13</v>
      </c>
      <c r="L47">
        <v>0</v>
      </c>
      <c r="M47" s="5">
        <v>3387913025.0240002</v>
      </c>
      <c r="N47" s="5">
        <f>Planets[[#This Row],[a]]*(1+Planets[[#This Row],[e]])</f>
        <v>3387913025.0240002</v>
      </c>
      <c r="O47" s="5">
        <f>Planets[[#This Row],[a]]*(1-Planets[[#This Row],[e]])</f>
        <v>3387913025.0240002</v>
      </c>
      <c r="P47" s="5" t="s">
        <v>95</v>
      </c>
    </row>
    <row r="48" spans="1:16" hidden="1" x14ac:dyDescent="0.25">
      <c r="A48" t="s">
        <v>187</v>
      </c>
      <c r="B48" s="4">
        <v>12514.069</v>
      </c>
      <c r="C48">
        <f>Planets[[#This Row],[Radius]]*Planets[[#This Row],[Radius]]*Planets[[#This Row],[Gravity]]*0.00980665</f>
        <v>1781458.6871786329</v>
      </c>
      <c r="D48" s="5">
        <v>1.1599999999999999</v>
      </c>
      <c r="E48">
        <v>503704.13385888084</v>
      </c>
      <c r="F48">
        <v>154407</v>
      </c>
      <c r="G48">
        <v>250</v>
      </c>
      <c r="H48">
        <v>10</v>
      </c>
      <c r="I48" t="s">
        <v>185</v>
      </c>
      <c r="K48">
        <v>1.3804594444667999</v>
      </c>
      <c r="L48">
        <v>0</v>
      </c>
      <c r="M48" s="5">
        <v>1493455.35396223</v>
      </c>
      <c r="N48" s="5">
        <f>Planets[[#This Row],[a]]*(1+Planets[[#This Row],[e]])</f>
        <v>1493455.35396223</v>
      </c>
      <c r="O48" s="5">
        <f>Planets[[#This Row],[a]]*(1-Planets[[#This Row],[e]])</f>
        <v>1493455.35396223</v>
      </c>
      <c r="P48" t="s">
        <v>186</v>
      </c>
    </row>
    <row r="49" spans="1:18" hidden="1" x14ac:dyDescent="0.25">
      <c r="A49" t="s">
        <v>190</v>
      </c>
      <c r="B49">
        <v>123.9</v>
      </c>
      <c r="C49">
        <f>Planets[[#This Row],[Radius]]*Planets[[#This Row],[Radius]]*Planets[[#This Row],[Gravity]]*0.00980665</f>
        <v>18.968536886859003</v>
      </c>
      <c r="D49" s="5">
        <v>0.126</v>
      </c>
      <c r="E49">
        <v>27730.84503264978</v>
      </c>
      <c r="F49">
        <v>334</v>
      </c>
      <c r="G49">
        <v>0</v>
      </c>
      <c r="H49">
        <v>0</v>
      </c>
      <c r="I49" t="s">
        <v>185</v>
      </c>
      <c r="K49">
        <v>1</v>
      </c>
      <c r="L49">
        <v>1.4E-3</v>
      </c>
      <c r="M49" s="5">
        <v>32617.255000000001</v>
      </c>
      <c r="N49" s="5">
        <f>Planets[[#This Row],[a]]*(1+Planets[[#This Row],[e]])</f>
        <v>32662.919157000004</v>
      </c>
      <c r="O49" s="5">
        <f>Planets[[#This Row],[a]]*(1-Planets[[#This Row],[e]])</f>
        <v>32571.590843000002</v>
      </c>
      <c r="P49" t="s">
        <v>187</v>
      </c>
    </row>
    <row r="50" spans="1:18" hidden="1" x14ac:dyDescent="0.25">
      <c r="A50" t="s">
        <v>188</v>
      </c>
      <c r="B50">
        <v>839.2</v>
      </c>
      <c r="C50">
        <f>Planets[[#This Row],[Radius]]*Planets[[#This Row],[Radius]]*Planets[[#This Row],[Gravity]]*0.00980665</f>
        <v>10773.981470703362</v>
      </c>
      <c r="D50" s="5">
        <v>1.56</v>
      </c>
      <c r="E50">
        <v>504189</v>
      </c>
      <c r="F50">
        <v>26241</v>
      </c>
      <c r="G50">
        <v>55</v>
      </c>
      <c r="H50">
        <v>0.45</v>
      </c>
      <c r="I50" t="s">
        <v>185</v>
      </c>
      <c r="J50" t="s">
        <v>155</v>
      </c>
      <c r="K50">
        <v>1.1299999999999999</v>
      </c>
      <c r="L50">
        <v>0.1</v>
      </c>
      <c r="M50" s="5">
        <v>1958235.95</v>
      </c>
      <c r="N50" s="5">
        <f>Planets[[#This Row],[a]]*(1+Planets[[#This Row],[e]])</f>
        <v>2154059.5449999999</v>
      </c>
      <c r="O50" s="5">
        <f>Planets[[#This Row],[a]]*(1-Planets[[#This Row],[e]])</f>
        <v>1762412.355</v>
      </c>
      <c r="P50" t="s">
        <v>186</v>
      </c>
    </row>
    <row r="51" spans="1:18" hidden="1" x14ac:dyDescent="0.25">
      <c r="A51" t="s">
        <v>189</v>
      </c>
      <c r="B51">
        <v>475.8</v>
      </c>
      <c r="C51">
        <f>Planets[[#This Row],[Radius]]*Planets[[#This Row],[Radius]]*Planets[[#This Row],[Gravity]]*0.00980665</f>
        <v>1713.9054165826321</v>
      </c>
      <c r="D51" s="5">
        <v>0.77200000000000002</v>
      </c>
      <c r="E51">
        <v>1048211</v>
      </c>
      <c r="F51">
        <v>19967</v>
      </c>
      <c r="G51">
        <v>54</v>
      </c>
      <c r="H51">
        <v>0.6</v>
      </c>
      <c r="I51" t="s">
        <v>185</v>
      </c>
      <c r="J51" t="s">
        <v>155</v>
      </c>
      <c r="K51">
        <v>4.2999999999999997E-2</v>
      </c>
      <c r="L51">
        <v>0.01</v>
      </c>
      <c r="M51" s="5">
        <v>3108530.0589852999</v>
      </c>
      <c r="N51" s="5">
        <f>Planets[[#This Row],[a]]*(1+Planets[[#This Row],[e]])</f>
        <v>3139615.3595751529</v>
      </c>
      <c r="O51" s="5">
        <f>Planets[[#This Row],[a]]*(1-Planets[[#This Row],[e]])</f>
        <v>3077444.7583954469</v>
      </c>
      <c r="P51" t="s">
        <v>186</v>
      </c>
    </row>
    <row r="52" spans="1:18" hidden="1" x14ac:dyDescent="0.25">
      <c r="A52" t="s">
        <v>191</v>
      </c>
      <c r="B52">
        <v>145.9</v>
      </c>
      <c r="C52">
        <f>Planets[[#This Row],[Radius]]*Planets[[#This Row],[Radius]]*Planets[[#This Row],[Gravity]]*0.00980665</f>
        <v>31.312844292975004</v>
      </c>
      <c r="D52" s="5">
        <v>0.15</v>
      </c>
      <c r="E52">
        <v>76775.713309058759</v>
      </c>
      <c r="F52">
        <v>1281</v>
      </c>
      <c r="G52">
        <v>10</v>
      </c>
      <c r="H52">
        <v>0.02</v>
      </c>
      <c r="I52" t="s">
        <v>185</v>
      </c>
      <c r="K52">
        <v>0.36</v>
      </c>
      <c r="L52">
        <v>5.5999999999999999E-3</v>
      </c>
      <c r="M52" s="5">
        <v>6348.7994980202402</v>
      </c>
      <c r="N52" s="5">
        <f>Planets[[#This Row],[a]]*(1+Planets[[#This Row],[e]])</f>
        <v>6384.3527752091541</v>
      </c>
      <c r="O52" s="5">
        <f>Planets[[#This Row],[a]]*(1-Planets[[#This Row],[e]])</f>
        <v>6313.2462208313264</v>
      </c>
      <c r="P52" t="s">
        <v>189</v>
      </c>
    </row>
    <row r="53" spans="1:18" hidden="1" x14ac:dyDescent="0.25">
      <c r="A53" t="s">
        <v>192</v>
      </c>
      <c r="B53">
        <v>529.29999999999995</v>
      </c>
      <c r="C53">
        <f>Planets[[#This Row],[Radius]]*Planets[[#This Row],[Radius]]*Planets[[#This Row],[Gravity]]*0.00980665</f>
        <v>2802.3645810776698</v>
      </c>
      <c r="D53" s="5">
        <v>1.02</v>
      </c>
      <c r="E53">
        <v>204768</v>
      </c>
      <c r="F53">
        <v>38.585000000000001</v>
      </c>
      <c r="G53">
        <v>122</v>
      </c>
      <c r="H53">
        <v>2.31</v>
      </c>
      <c r="I53" t="s">
        <v>185</v>
      </c>
      <c r="J53" t="s">
        <v>155</v>
      </c>
      <c r="K53">
        <v>0.35699999999999998</v>
      </c>
      <c r="L53">
        <v>0.03</v>
      </c>
      <c r="M53" s="5">
        <v>4934511.8272805503</v>
      </c>
      <c r="N53" s="5">
        <f>Planets[[#This Row],[a]]*(1+Planets[[#This Row],[e]])</f>
        <v>5082547.182098967</v>
      </c>
      <c r="O53" s="5">
        <f>Planets[[#This Row],[a]]*(1-Planets[[#This Row],[e]])</f>
        <v>4786476.4724621335</v>
      </c>
      <c r="P53" t="s">
        <v>186</v>
      </c>
    </row>
    <row r="54" spans="1:18" hidden="1" x14ac:dyDescent="0.25">
      <c r="A54" t="s">
        <v>193</v>
      </c>
      <c r="B54">
        <v>7170.1</v>
      </c>
      <c r="C54">
        <f>Planets[[#This Row],[Radius]]*Planets[[#This Row],[Radius]]*Planets[[#This Row],[Gravity]]*0.00980665</f>
        <v>1310824.1952498329</v>
      </c>
      <c r="D54" s="5">
        <v>2.6</v>
      </c>
      <c r="E54">
        <v>259200</v>
      </c>
      <c r="F54">
        <v>1573172</v>
      </c>
      <c r="G54">
        <v>250</v>
      </c>
      <c r="H54">
        <v>10</v>
      </c>
      <c r="I54" t="s">
        <v>185</v>
      </c>
      <c r="K54">
        <v>4.5789999999999997</v>
      </c>
      <c r="L54">
        <v>0.222</v>
      </c>
      <c r="M54" s="5">
        <v>17202540.8278469</v>
      </c>
      <c r="N54" s="5">
        <f>Planets[[#This Row],[a]]*(1+Planets[[#This Row],[e]])</f>
        <v>21021504.89162891</v>
      </c>
      <c r="O54" s="5">
        <f>Planets[[#This Row],[a]]*(1-Planets[[#This Row],[e]])</f>
        <v>13383576.764064888</v>
      </c>
      <c r="P54" t="s">
        <v>186</v>
      </c>
    </row>
    <row r="55" spans="1:18" hidden="1" x14ac:dyDescent="0.25">
      <c r="A55" t="s">
        <v>194</v>
      </c>
      <c r="B55">
        <v>60.3</v>
      </c>
      <c r="C55">
        <f>Planets[[#This Row],[Radius]]*Planets[[#This Row],[Radius]]*Planets[[#This Row],[Gravity]]*0.00980665</f>
        <v>1.42631447994</v>
      </c>
      <c r="D55" s="5">
        <v>0.04</v>
      </c>
      <c r="E55">
        <v>9738.3454900781635</v>
      </c>
      <c r="F55">
        <v>60</v>
      </c>
      <c r="G55">
        <v>0</v>
      </c>
      <c r="H55">
        <v>0</v>
      </c>
      <c r="I55" t="s">
        <v>185</v>
      </c>
      <c r="K55">
        <v>0.02</v>
      </c>
      <c r="L55">
        <v>8.0000000000000004E-4</v>
      </c>
      <c r="M55" s="5">
        <v>14657.2228</v>
      </c>
      <c r="N55" s="5">
        <f>Planets[[#This Row],[a]]*(1+Planets[[#This Row],[e]])</f>
        <v>14668.948578239999</v>
      </c>
      <c r="O55" s="5">
        <f>Planets[[#This Row],[a]]*(1-Planets[[#This Row],[e]])</f>
        <v>14645.497021759998</v>
      </c>
      <c r="P55" t="s">
        <v>193</v>
      </c>
    </row>
    <row r="56" spans="1:18" hidden="1" x14ac:dyDescent="0.25">
      <c r="A56" t="s">
        <v>204</v>
      </c>
      <c r="B56">
        <v>60.3</v>
      </c>
      <c r="C56">
        <f>Planets[[#This Row],[Radius]]*Planets[[#This Row],[Radius]]*Planets[[#This Row],[Gravity]]*0.00980665</f>
        <v>1.7828930999249999</v>
      </c>
      <c r="D56" s="5">
        <v>0.05</v>
      </c>
      <c r="E56">
        <v>9738.3454900781635</v>
      </c>
      <c r="F56">
        <v>66</v>
      </c>
      <c r="G56">
        <v>0</v>
      </c>
      <c r="H56">
        <v>0</v>
      </c>
      <c r="I56" t="s">
        <v>185</v>
      </c>
      <c r="K56">
        <v>0.02</v>
      </c>
      <c r="L56">
        <v>8.0000000000000004E-4</v>
      </c>
      <c r="M56" s="5">
        <v>14657.2228</v>
      </c>
      <c r="N56" s="5">
        <f>Planets[[#This Row],[a]]*(1+Planets[[#This Row],[e]])</f>
        <v>14668.948578239999</v>
      </c>
      <c r="O56" s="5">
        <f>Planets[[#This Row],[a]]*(1-Planets[[#This Row],[e]])</f>
        <v>14645.497021759998</v>
      </c>
      <c r="P56" t="s">
        <v>193</v>
      </c>
    </row>
    <row r="57" spans="1:18" hidden="1" x14ac:dyDescent="0.25">
      <c r="A57" t="s">
        <v>196</v>
      </c>
      <c r="B57">
        <v>214.3</v>
      </c>
      <c r="C57">
        <f>Planets[[#This Row],[Radius]]*Planets[[#This Row],[Radius]]*Planets[[#This Row],[Gravity]]*0.00980665</f>
        <v>150.42204355273901</v>
      </c>
      <c r="D57" s="5">
        <v>0.33400000000000002</v>
      </c>
      <c r="E57">
        <v>46442.211604198746</v>
      </c>
      <c r="F57">
        <v>1102</v>
      </c>
      <c r="G57">
        <v>10</v>
      </c>
      <c r="H57">
        <v>0.02</v>
      </c>
      <c r="I57" t="s">
        <v>185</v>
      </c>
      <c r="K57">
        <v>0.8</v>
      </c>
      <c r="L57">
        <v>1.0999999999999999E-2</v>
      </c>
      <c r="M57" s="5">
        <v>41527.599999999999</v>
      </c>
      <c r="N57" s="5">
        <f>Planets[[#This Row],[a]]*(1+Planets[[#This Row],[e]])</f>
        <v>41984.403599999998</v>
      </c>
      <c r="O57" s="5">
        <f>Planets[[#This Row],[a]]*(1-Planets[[#This Row],[e]])</f>
        <v>41070.796399999999</v>
      </c>
      <c r="P57" t="s">
        <v>193</v>
      </c>
    </row>
    <row r="58" spans="1:18" hidden="1" x14ac:dyDescent="0.25">
      <c r="A58" t="s">
        <v>195</v>
      </c>
      <c r="B58">
        <v>127.3</v>
      </c>
      <c r="C58">
        <f>Planets[[#This Row],[Radius]]*Planets[[#This Row],[Radius]]*Planets[[#This Row],[Gravity]]*0.00980665</f>
        <v>20.659548933204999</v>
      </c>
      <c r="D58" s="5">
        <v>0.13</v>
      </c>
      <c r="E58">
        <v>74116.212821268899</v>
      </c>
      <c r="F58">
        <v>680</v>
      </c>
      <c r="G58">
        <v>0</v>
      </c>
      <c r="H58">
        <v>0</v>
      </c>
      <c r="I58" t="s">
        <v>185</v>
      </c>
      <c r="K58">
        <v>0.5</v>
      </c>
      <c r="L58">
        <v>1.5E-3</v>
      </c>
      <c r="M58" s="5">
        <v>56711.402000000002</v>
      </c>
      <c r="N58" s="5">
        <f>Planets[[#This Row],[a]]*(1+Planets[[#This Row],[e]])</f>
        <v>56796.469103000003</v>
      </c>
      <c r="O58" s="5">
        <f>Planets[[#This Row],[a]]*(1-Planets[[#This Row],[e]])</f>
        <v>56626.334897000008</v>
      </c>
      <c r="P58" t="s">
        <v>193</v>
      </c>
    </row>
    <row r="59" spans="1:18" hidden="1" x14ac:dyDescent="0.25">
      <c r="A59" t="s">
        <v>197</v>
      </c>
      <c r="B59">
        <v>190.7</v>
      </c>
      <c r="C59">
        <f>Planets[[#This Row],[Radius]]*Planets[[#This Row],[Radius]]*Planets[[#This Row],[Gravity]]*0.00980665</f>
        <v>71.326687831699999</v>
      </c>
      <c r="D59" s="5">
        <v>0.2</v>
      </c>
      <c r="E59">
        <v>133459.88155160216</v>
      </c>
      <c r="F59">
        <v>1653</v>
      </c>
      <c r="G59">
        <v>80</v>
      </c>
      <c r="H59">
        <v>1.1000000000000001</v>
      </c>
      <c r="I59" t="s">
        <v>185</v>
      </c>
      <c r="J59" t="s">
        <v>155</v>
      </c>
      <c r="K59">
        <v>0.89</v>
      </c>
      <c r="L59">
        <v>2.5999999999999999E-3</v>
      </c>
      <c r="M59" s="5">
        <v>83938.665599999993</v>
      </c>
      <c r="N59" s="5">
        <f>Planets[[#This Row],[a]]*(1+Planets[[#This Row],[e]])</f>
        <v>84156.90613055999</v>
      </c>
      <c r="O59" s="5">
        <f>Planets[[#This Row],[a]]*(1-Planets[[#This Row],[e]])</f>
        <v>83720.425069439996</v>
      </c>
      <c r="P59" t="s">
        <v>193</v>
      </c>
    </row>
    <row r="60" spans="1:18" hidden="1" x14ac:dyDescent="0.25">
      <c r="A60" t="s">
        <v>198</v>
      </c>
      <c r="B60">
        <v>178.2</v>
      </c>
      <c r="C60">
        <f>Planets[[#This Row],[Radius]]*Planets[[#This Row],[Radius]]*Planets[[#This Row],[Gravity]]*0.00980665</f>
        <v>49.826003895359996</v>
      </c>
      <c r="D60" s="5">
        <v>0.16</v>
      </c>
      <c r="E60">
        <v>232024.8415569553</v>
      </c>
      <c r="F60">
        <v>2070</v>
      </c>
      <c r="G60">
        <v>0</v>
      </c>
      <c r="H60">
        <v>0</v>
      </c>
      <c r="I60" t="s">
        <v>185</v>
      </c>
      <c r="K60">
        <v>0.3</v>
      </c>
      <c r="L60">
        <v>2.7000000000000001E-3</v>
      </c>
      <c r="M60" s="5">
        <v>121362.51300000001</v>
      </c>
      <c r="N60" s="5">
        <f>Planets[[#This Row],[a]]*(1+Planets[[#This Row],[e]])</f>
        <v>121690.1917851</v>
      </c>
      <c r="O60" s="5">
        <f>Planets[[#This Row],[a]]*(1-Planets[[#This Row],[e]])</f>
        <v>121034.83421490001</v>
      </c>
      <c r="P60" t="s">
        <v>193</v>
      </c>
    </row>
    <row r="61" spans="1:18" hidden="1" x14ac:dyDescent="0.25">
      <c r="A61" t="s">
        <v>381</v>
      </c>
      <c r="B61">
        <v>696342</v>
      </c>
      <c r="C61" s="2">
        <v>132712000000</v>
      </c>
      <c r="D61" s="5"/>
      <c r="I61" t="s">
        <v>380</v>
      </c>
      <c r="N61" s="5">
        <f>Planets[[#This Row],[a]]*(1+Planets[[#This Row],[e]])</f>
        <v>0</v>
      </c>
      <c r="O61" s="5">
        <f>Planets[[#This Row],[a]]*(1-Planets[[#This Row],[e]])</f>
        <v>0</v>
      </c>
    </row>
    <row r="62" spans="1:18" hidden="1" x14ac:dyDescent="0.25">
      <c r="A62" t="s">
        <v>382</v>
      </c>
      <c r="B62">
        <v>2439.6999999999998</v>
      </c>
      <c r="C62" s="3"/>
      <c r="D62" s="5"/>
      <c r="E62">
        <v>5067031.68</v>
      </c>
      <c r="G62">
        <v>0</v>
      </c>
      <c r="H62">
        <v>0</v>
      </c>
      <c r="I62" t="s">
        <v>380</v>
      </c>
      <c r="K62">
        <v>28.6025210885504</v>
      </c>
      <c r="L62">
        <v>0.20561872663191999</v>
      </c>
      <c r="M62" s="2">
        <v>57908973645.888</v>
      </c>
      <c r="N62" s="2">
        <f>Planets[[#This Row],[a]]*(1+Planets[[#This Row],[e]])</f>
        <v>69816143067.516907</v>
      </c>
      <c r="O62" s="2">
        <f>Planets[[#This Row],[a]]*(1-Planets[[#This Row],[e]])</f>
        <v>46001804224.259094</v>
      </c>
      <c r="P62" t="s">
        <v>381</v>
      </c>
      <c r="R62" s="5">
        <v>3.3022E+23</v>
      </c>
    </row>
    <row r="63" spans="1:18" hidden="1" x14ac:dyDescent="0.25">
      <c r="A63" t="s">
        <v>383</v>
      </c>
      <c r="B63">
        <v>6049</v>
      </c>
      <c r="C63" s="3">
        <v>324859</v>
      </c>
      <c r="D63" s="5"/>
      <c r="E63">
        <v>-20996797.016380999</v>
      </c>
      <c r="G63">
        <v>145</v>
      </c>
      <c r="H63">
        <v>107.63</v>
      </c>
      <c r="I63" t="s">
        <v>380</v>
      </c>
      <c r="K63">
        <v>24.463976335564301</v>
      </c>
      <c r="L63">
        <v>6.8103396508420299E-3</v>
      </c>
      <c r="M63" s="2">
        <v>108209548790.467</v>
      </c>
      <c r="N63" s="2">
        <f>Planets[[#This Row],[a]]*(1+Planets[[#This Row],[e]])</f>
        <v>108946492571.19444</v>
      </c>
      <c r="O63" s="2">
        <f>Planets[[#This Row],[a]]*(1-Planets[[#This Row],[e]])</f>
        <v>107472605009.73956</v>
      </c>
      <c r="P63" t="s">
        <v>381</v>
      </c>
      <c r="R63" s="5">
        <v>4.8675999999999998E+24</v>
      </c>
    </row>
    <row r="64" spans="1:18" hidden="1" x14ac:dyDescent="0.25">
      <c r="A64" t="s">
        <v>384</v>
      </c>
      <c r="B64">
        <v>6371</v>
      </c>
      <c r="C64" s="75">
        <v>398600.44179999997</v>
      </c>
      <c r="D64" s="5"/>
      <c r="E64">
        <v>86164.098903691003</v>
      </c>
      <c r="G64">
        <v>140</v>
      </c>
      <c r="H64">
        <v>1</v>
      </c>
      <c r="I64" t="s">
        <v>380</v>
      </c>
      <c r="J64" t="s">
        <v>155</v>
      </c>
      <c r="K64">
        <v>23.446037954697701</v>
      </c>
      <c r="L64">
        <v>1.60963616050568E-2</v>
      </c>
      <c r="M64" s="2">
        <v>149598261150.44199</v>
      </c>
      <c r="N64" s="2">
        <f>Planets[[#This Row],[a]]*(1+Planets[[#This Row],[e]])</f>
        <v>152006248857.40723</v>
      </c>
      <c r="O64" s="2">
        <f>Planets[[#This Row],[a]]*(1-Planets[[#This Row],[e]])</f>
        <v>147190273443.47675</v>
      </c>
      <c r="P64" t="s">
        <v>381</v>
      </c>
    </row>
    <row r="65" spans="1:18" hidden="1" x14ac:dyDescent="0.25">
      <c r="A65" t="s">
        <v>385</v>
      </c>
      <c r="B65">
        <v>1737.1</v>
      </c>
      <c r="C65" s="3"/>
      <c r="D65" s="5"/>
      <c r="E65">
        <v>2360584.6847999902</v>
      </c>
      <c r="G65">
        <v>0</v>
      </c>
      <c r="H65">
        <v>0</v>
      </c>
      <c r="I65" t="s">
        <v>380</v>
      </c>
      <c r="K65">
        <v>28.362677907984899</v>
      </c>
      <c r="L65">
        <v>5.3281493536825701E-2</v>
      </c>
      <c r="M65" s="2">
        <v>384308437.770706</v>
      </c>
      <c r="N65" s="2">
        <f>Planets[[#This Row],[a]]*(1+Planets[[#This Row],[e]])</f>
        <v>404784965.31393349</v>
      </c>
      <c r="O65" s="2">
        <f>Planets[[#This Row],[a]]*(1-Planets[[#This Row],[e]])</f>
        <v>363831910.22747856</v>
      </c>
      <c r="P65" s="5" t="s">
        <v>384</v>
      </c>
      <c r="R65" s="5">
        <v>7.3476730900000002E+22</v>
      </c>
    </row>
    <row r="66" spans="1:18" hidden="1" x14ac:dyDescent="0.25">
      <c r="A66" t="s">
        <v>386</v>
      </c>
      <c r="B66">
        <v>3375.8</v>
      </c>
      <c r="C66" s="3">
        <v>42828.31</v>
      </c>
      <c r="D66" s="5"/>
      <c r="E66">
        <v>88642.684800000003</v>
      </c>
      <c r="G66">
        <v>125</v>
      </c>
      <c r="H66">
        <v>1.1299999999999999E-2</v>
      </c>
      <c r="I66" t="s">
        <v>380</v>
      </c>
      <c r="K66">
        <v>24.692724269100498</v>
      </c>
      <c r="L66">
        <v>9.3261102783235503E-2</v>
      </c>
      <c r="M66" s="2">
        <v>227949699961.97601</v>
      </c>
      <c r="N66" s="2">
        <f>Planets[[#This Row],[a]]*(1+Planets[[#This Row],[e]])</f>
        <v>249208540359.53757</v>
      </c>
      <c r="O66" s="2">
        <f>Planets[[#This Row],[a]]*(1-Planets[[#This Row],[e]])</f>
        <v>206690859564.41446</v>
      </c>
      <c r="P66" t="s">
        <v>381</v>
      </c>
    </row>
    <row r="67" spans="1:18" hidden="1" x14ac:dyDescent="0.25">
      <c r="A67" t="s">
        <v>387</v>
      </c>
      <c r="B67">
        <v>7.25</v>
      </c>
      <c r="C67" s="3"/>
      <c r="D67" s="5"/>
      <c r="E67">
        <v>27553.843872000001</v>
      </c>
      <c r="I67" t="s">
        <v>380</v>
      </c>
      <c r="K67">
        <v>36.324334104718602</v>
      </c>
      <c r="L67">
        <v>1.5399381555839701E-2</v>
      </c>
      <c r="M67" s="2">
        <v>9378492.2090883106</v>
      </c>
      <c r="N67" s="2">
        <f>Planets[[#This Row],[a]]*(1+Planets[[#This Row],[e]])</f>
        <v>9522915.1890345328</v>
      </c>
      <c r="O67" s="2">
        <f>Planets[[#This Row],[a]]*(1-Planets[[#This Row],[e]])</f>
        <v>9234069.2291420884</v>
      </c>
      <c r="P67" t="s">
        <v>386</v>
      </c>
      <c r="R67" s="5">
        <v>1.072E+16</v>
      </c>
    </row>
    <row r="68" spans="1:18" hidden="1" x14ac:dyDescent="0.25">
      <c r="A68" t="s">
        <v>388</v>
      </c>
      <c r="B68">
        <v>5.4560000000000004</v>
      </c>
      <c r="C68" s="3"/>
      <c r="D68" s="5"/>
      <c r="E68">
        <v>109123.2</v>
      </c>
      <c r="I68" t="s">
        <v>380</v>
      </c>
      <c r="K68">
        <v>38.2773701383231</v>
      </c>
      <c r="L68">
        <v>3.2946807986617002E-4</v>
      </c>
      <c r="M68" s="2">
        <v>23458112.017593801</v>
      </c>
      <c r="N68" s="2">
        <f>Planets[[#This Row],[a]]*(1+Planets[[#This Row],[e]])</f>
        <v>23465840.716717523</v>
      </c>
      <c r="O68" s="2">
        <f>Planets[[#This Row],[a]]*(1-Planets[[#This Row],[e]])</f>
        <v>23450383.318470079</v>
      </c>
      <c r="P68" t="s">
        <v>386</v>
      </c>
      <c r="R68" s="5">
        <v>1480000000000000</v>
      </c>
    </row>
    <row r="69" spans="1:18" hidden="1" x14ac:dyDescent="0.25">
      <c r="A69" t="s">
        <v>390</v>
      </c>
      <c r="B69">
        <v>262.7</v>
      </c>
      <c r="C69" s="3"/>
      <c r="D69" s="5"/>
      <c r="E69">
        <v>19231.2</v>
      </c>
      <c r="I69" t="s">
        <v>380</v>
      </c>
      <c r="K69">
        <v>22.7696439720361</v>
      </c>
      <c r="L69">
        <v>9.0206841225536905E-2</v>
      </c>
      <c r="M69" s="2">
        <v>353346223803.15802</v>
      </c>
      <c r="N69" s="2">
        <f>Planets[[#This Row],[a]]*(1+Planets[[#This Row],[e]])</f>
        <v>385220470511.41254</v>
      </c>
      <c r="O69" s="2">
        <f>Planets[[#This Row],[a]]*(1-Planets[[#This Row],[e]])</f>
        <v>321471977094.9035</v>
      </c>
      <c r="P69" t="s">
        <v>381</v>
      </c>
      <c r="R69" s="5">
        <v>2.59E+20</v>
      </c>
    </row>
    <row r="70" spans="1:18" hidden="1" x14ac:dyDescent="0.25">
      <c r="A70" t="s">
        <v>389</v>
      </c>
      <c r="B70">
        <v>473</v>
      </c>
      <c r="C70" s="3"/>
      <c r="D70" s="5"/>
      <c r="E70">
        <v>32666.400000000001</v>
      </c>
      <c r="I70" t="s">
        <v>380</v>
      </c>
      <c r="K70">
        <v>27.1273394923134</v>
      </c>
      <c r="L70">
        <v>7.9363494880566002E-2</v>
      </c>
      <c r="M70" s="2">
        <v>413738762313.17297</v>
      </c>
      <c r="N70" s="2">
        <f>Planets[[#This Row],[a]]*(1+Planets[[#This Row],[e]])</f>
        <v>446574516457.90619</v>
      </c>
      <c r="O70" s="2">
        <f>Planets[[#This Row],[a]]*(1-Planets[[#This Row],[e]])</f>
        <v>380903008168.43976</v>
      </c>
      <c r="P70" t="s">
        <v>381</v>
      </c>
      <c r="R70" s="5">
        <v>9.39E+20</v>
      </c>
    </row>
    <row r="71" spans="1:18" hidden="1" x14ac:dyDescent="0.25">
      <c r="A71" t="s">
        <v>391</v>
      </c>
      <c r="B71">
        <v>69373</v>
      </c>
      <c r="C71" s="3">
        <v>126686534</v>
      </c>
      <c r="D71" s="5"/>
      <c r="E71">
        <v>35730</v>
      </c>
      <c r="G71">
        <v>1550</v>
      </c>
      <c r="H71">
        <v>1000</v>
      </c>
      <c r="I71" t="s">
        <v>380</v>
      </c>
      <c r="K71">
        <v>23.2531330694788</v>
      </c>
      <c r="L71">
        <v>4.8726606547021899E-2</v>
      </c>
      <c r="M71" s="2">
        <v>778188938659.755</v>
      </c>
      <c r="N71" s="2">
        <f>Planets[[#This Row],[a]]*(1+Planets[[#This Row],[e]])</f>
        <v>816107444893.07349</v>
      </c>
      <c r="O71" s="2">
        <f>Planets[[#This Row],[a]]*(1-Planets[[#This Row],[e]])</f>
        <v>740270432426.43652</v>
      </c>
      <c r="P71" t="s">
        <v>381</v>
      </c>
    </row>
    <row r="72" spans="1:18" hidden="1" x14ac:dyDescent="0.25">
      <c r="A72" t="s">
        <v>392</v>
      </c>
      <c r="B72">
        <v>1811.3</v>
      </c>
      <c r="C72" s="3"/>
      <c r="D72" s="5"/>
      <c r="I72" t="s">
        <v>380</v>
      </c>
      <c r="K72">
        <v>25.464095386648701</v>
      </c>
      <c r="L72">
        <v>3.54585842621697E-3</v>
      </c>
      <c r="M72" s="2">
        <v>422018294.52369499</v>
      </c>
      <c r="N72" s="2">
        <f>Planets[[#This Row],[a]]*(1+Planets[[#This Row],[e]])</f>
        <v>423514711.64934951</v>
      </c>
      <c r="O72" s="2">
        <f>Planets[[#This Row],[a]]*(1-Planets[[#This Row],[e]])</f>
        <v>420521877.39804041</v>
      </c>
      <c r="P72" t="s">
        <v>391</v>
      </c>
      <c r="R72" s="5">
        <v>8.9318999999999996E+22</v>
      </c>
    </row>
    <row r="73" spans="1:18" hidden="1" x14ac:dyDescent="0.25">
      <c r="A73" t="s">
        <v>393</v>
      </c>
      <c r="B73">
        <v>1550.8</v>
      </c>
      <c r="C73" s="3"/>
      <c r="D73" s="5"/>
      <c r="I73" t="s">
        <v>380</v>
      </c>
      <c r="K73">
        <v>25.703642764719898</v>
      </c>
      <c r="L73">
        <v>9.5117271199261708E-3</v>
      </c>
      <c r="M73" s="2">
        <v>671253637.54171598</v>
      </c>
      <c r="N73" s="2">
        <f>Planets[[#This Row],[a]]*(1+Planets[[#This Row],[e]])</f>
        <v>677638418.97027051</v>
      </c>
      <c r="O73" s="2">
        <f>Planets[[#This Row],[a]]*(1-Planets[[#This Row],[e]])</f>
        <v>664868856.11316133</v>
      </c>
      <c r="P73" t="s">
        <v>391</v>
      </c>
      <c r="R73" s="5">
        <v>4.7997999999999996E+22</v>
      </c>
    </row>
    <row r="74" spans="1:18" hidden="1" x14ac:dyDescent="0.25">
      <c r="A74" t="s">
        <v>394</v>
      </c>
      <c r="B74">
        <v>2624.1</v>
      </c>
      <c r="C74" s="3"/>
      <c r="D74" s="5"/>
      <c r="I74" t="s">
        <v>380</v>
      </c>
      <c r="K74">
        <v>25.270713669620399</v>
      </c>
      <c r="L74">
        <v>1.1900864183618401E-3</v>
      </c>
      <c r="M74" s="2">
        <v>1070823468.89452</v>
      </c>
      <c r="N74" s="2">
        <f>Planets[[#This Row],[a]]*(1+Planets[[#This Row],[e]])</f>
        <v>1072097841.3613145</v>
      </c>
      <c r="O74" s="2">
        <f>Planets[[#This Row],[a]]*(1-Planets[[#This Row],[e]])</f>
        <v>1069549096.4277256</v>
      </c>
      <c r="P74" t="s">
        <v>391</v>
      </c>
      <c r="R74" s="5">
        <v>1.4819E+23</v>
      </c>
    </row>
    <row r="75" spans="1:18" hidden="1" x14ac:dyDescent="0.25">
      <c r="A75" t="s">
        <v>395</v>
      </c>
      <c r="B75">
        <v>2409.3000000000002</v>
      </c>
      <c r="C75" s="3"/>
      <c r="D75" s="5"/>
      <c r="I75" t="s">
        <v>380</v>
      </c>
      <c r="K75">
        <v>25.4408001982213</v>
      </c>
      <c r="L75">
        <v>7.9733197968966003E-3</v>
      </c>
      <c r="M75" s="2">
        <v>1883812366.5735199</v>
      </c>
      <c r="N75" s="2">
        <f>Planets[[#This Row],[a]]*(1+Planets[[#This Row],[e]])</f>
        <v>1898832605.0095592</v>
      </c>
      <c r="O75" s="2">
        <f>Planets[[#This Row],[a]]*(1-Planets[[#This Row],[e]])</f>
        <v>1868792128.1374805</v>
      </c>
      <c r="P75" t="s">
        <v>391</v>
      </c>
      <c r="R75" s="5">
        <v>1.075938E+23</v>
      </c>
    </row>
    <row r="76" spans="1:18" hidden="1" x14ac:dyDescent="0.25">
      <c r="A76" t="s">
        <v>396</v>
      </c>
      <c r="B76">
        <v>57216</v>
      </c>
      <c r="C76" s="3">
        <v>37931187</v>
      </c>
      <c r="D76" s="5"/>
      <c r="E76">
        <v>38052</v>
      </c>
      <c r="G76">
        <v>2000</v>
      </c>
      <c r="H76">
        <v>1000</v>
      </c>
      <c r="I76" t="s">
        <v>380</v>
      </c>
      <c r="K76">
        <v>22.569922811323298</v>
      </c>
      <c r="L76">
        <v>5.3471665067498703E-2</v>
      </c>
      <c r="M76" s="2">
        <v>1424838758613.26</v>
      </c>
      <c r="N76" s="2">
        <f>Planets[[#This Row],[a]]*(1+Planets[[#This Row],[e]])</f>
        <v>1501027259489.0188</v>
      </c>
      <c r="O76" s="2">
        <f>Planets[[#This Row],[a]]*(1-Planets[[#This Row],[e]])</f>
        <v>1348650257737.5012</v>
      </c>
      <c r="P76" t="s">
        <v>381</v>
      </c>
    </row>
    <row r="77" spans="1:18" hidden="1" x14ac:dyDescent="0.25">
      <c r="A77" t="s">
        <v>400</v>
      </c>
      <c r="B77">
        <v>198.2</v>
      </c>
      <c r="C77" s="3"/>
      <c r="D77" s="5"/>
      <c r="E77">
        <v>81388.800000000003</v>
      </c>
      <c r="I77" t="s">
        <v>380</v>
      </c>
      <c r="K77">
        <v>1.5720000000000001</v>
      </c>
      <c r="L77">
        <v>1.7762752231477399E-2</v>
      </c>
      <c r="M77" s="2">
        <v>186009285.92204899</v>
      </c>
      <c r="N77" s="2">
        <f>Planets[[#This Row],[a]]*(1+Planets[[#This Row],[e]])</f>
        <v>189313322.78063637</v>
      </c>
      <c r="O77" s="2">
        <f>Planets[[#This Row],[a]]*(1-Planets[[#This Row],[e]])</f>
        <v>182705249.0634616</v>
      </c>
      <c r="P77" t="s">
        <v>396</v>
      </c>
      <c r="R77" s="5">
        <v>3.7493E+19</v>
      </c>
    </row>
    <row r="78" spans="1:18" hidden="1" x14ac:dyDescent="0.25">
      <c r="A78" t="s">
        <v>398</v>
      </c>
      <c r="B78">
        <v>252.1</v>
      </c>
      <c r="C78" s="3"/>
      <c r="D78" s="5"/>
      <c r="E78">
        <v>118386.8352</v>
      </c>
      <c r="I78" t="s">
        <v>380</v>
      </c>
      <c r="K78">
        <v>8.9999999999999993E-3</v>
      </c>
      <c r="L78">
        <v>6.2278979999574602E-3</v>
      </c>
      <c r="M78" s="2">
        <v>238413699.483872</v>
      </c>
      <c r="N78" s="2">
        <f>Planets[[#This Row],[a]]*(1+Planets[[#This Row],[e]])</f>
        <v>239898515.68605006</v>
      </c>
      <c r="O78" s="2">
        <f>Planets[[#This Row],[a]]*(1-Planets[[#This Row],[e]])</f>
        <v>236928883.28169394</v>
      </c>
      <c r="P78" t="s">
        <v>396</v>
      </c>
      <c r="R78" s="5">
        <v>1.08022E+20</v>
      </c>
    </row>
    <row r="79" spans="1:18" hidden="1" x14ac:dyDescent="0.25">
      <c r="A79" t="s">
        <v>402</v>
      </c>
      <c r="B79">
        <v>531.1</v>
      </c>
      <c r="C79" s="3"/>
      <c r="D79" s="5"/>
      <c r="E79">
        <v>163106.09280000001</v>
      </c>
      <c r="I79" t="s">
        <v>380</v>
      </c>
      <c r="K79">
        <v>1.091</v>
      </c>
      <c r="L79">
        <v>1.06486886808356E-3</v>
      </c>
      <c r="M79" s="2">
        <v>294973462.38044202</v>
      </c>
      <c r="N79" s="2">
        <f>Planets[[#This Row],[a]]*(1+Planets[[#This Row],[e]])</f>
        <v>295287570.43744183</v>
      </c>
      <c r="O79" s="2">
        <f>Planets[[#This Row],[a]]*(1-Planets[[#This Row],[e]])</f>
        <v>294659354.32344228</v>
      </c>
      <c r="P79" t="s">
        <v>396</v>
      </c>
      <c r="R79" s="5">
        <v>6.1744899999999997E+20</v>
      </c>
    </row>
    <row r="80" spans="1:18" hidden="1" x14ac:dyDescent="0.25">
      <c r="A80" t="s">
        <v>397</v>
      </c>
      <c r="B80">
        <v>561.4</v>
      </c>
      <c r="C80" s="3"/>
      <c r="D80" s="5"/>
      <c r="E80">
        <v>236469.45600000001</v>
      </c>
      <c r="I80" t="s">
        <v>380</v>
      </c>
      <c r="K80">
        <v>2.8000000000000001E-2</v>
      </c>
      <c r="L80">
        <v>1.6792309055027701E-3</v>
      </c>
      <c r="M80" s="2">
        <v>377650651.50170898</v>
      </c>
      <c r="N80" s="2">
        <f>Planets[[#This Row],[a]]*(1+Planets[[#This Row],[e]])</f>
        <v>378284814.14719391</v>
      </c>
      <c r="O80" s="2">
        <f>Planets[[#This Row],[a]]*(1-Planets[[#This Row],[e]])</f>
        <v>377016488.85622406</v>
      </c>
      <c r="P80" t="s">
        <v>396</v>
      </c>
      <c r="R80" s="5">
        <v>1.095452E+21</v>
      </c>
    </row>
    <row r="81" spans="1:18" hidden="1" x14ac:dyDescent="0.25">
      <c r="A81" t="s">
        <v>401</v>
      </c>
      <c r="B81">
        <v>763.8</v>
      </c>
      <c r="C81" s="3"/>
      <c r="D81" s="5"/>
      <c r="E81">
        <v>390373.51679999998</v>
      </c>
      <c r="I81" t="s">
        <v>380</v>
      </c>
      <c r="K81">
        <v>0.33100000000000002</v>
      </c>
      <c r="L81">
        <v>1.16826951575632E-3</v>
      </c>
      <c r="M81" s="2">
        <v>527212645.70719898</v>
      </c>
      <c r="N81" s="2">
        <f>Planets[[#This Row],[a]]*(1+Planets[[#This Row],[e]])</f>
        <v>527828572.16949987</v>
      </c>
      <c r="O81" s="2">
        <f>Planets[[#This Row],[a]]*(1-Planets[[#This Row],[e]])</f>
        <v>526596719.24489802</v>
      </c>
      <c r="P81" t="s">
        <v>396</v>
      </c>
      <c r="R81" s="5">
        <v>2.3065180000000001E+21</v>
      </c>
    </row>
    <row r="82" spans="1:18" hidden="1" x14ac:dyDescent="0.25">
      <c r="A82" t="s">
        <v>403</v>
      </c>
      <c r="B82">
        <v>2573.3000000000002</v>
      </c>
      <c r="C82" s="3">
        <v>8978.1329999999998</v>
      </c>
      <c r="D82" s="5"/>
      <c r="E82">
        <v>1377648</v>
      </c>
      <c r="G82">
        <v>600</v>
      </c>
      <c r="H82">
        <v>1.57</v>
      </c>
      <c r="I82" t="s">
        <v>380</v>
      </c>
      <c r="K82">
        <v>6.4604926797755198</v>
      </c>
      <c r="L82">
        <v>2.89193656155536E-2</v>
      </c>
      <c r="M82" s="2">
        <v>1221966238.51142</v>
      </c>
      <c r="N82" s="2">
        <f>Planets[[#This Row],[a]]*(1+Planets[[#This Row],[e]])</f>
        <v>1257304726.9327946</v>
      </c>
      <c r="O82" s="2">
        <f>Planets[[#This Row],[a]]*(1-Planets[[#This Row],[e]])</f>
        <v>1186627750.0900455</v>
      </c>
      <c r="P82" t="s">
        <v>396</v>
      </c>
    </row>
    <row r="83" spans="1:18" hidden="1" x14ac:dyDescent="0.25">
      <c r="A83" t="s">
        <v>399</v>
      </c>
      <c r="B83">
        <v>734.5</v>
      </c>
      <c r="C83" s="3"/>
      <c r="D83" s="5"/>
      <c r="E83">
        <v>6853377.5999999996</v>
      </c>
      <c r="I83" t="s">
        <v>380</v>
      </c>
      <c r="K83">
        <v>7.4889999999999999</v>
      </c>
      <c r="L83">
        <v>2.8802862819696101E-2</v>
      </c>
      <c r="M83" s="2">
        <v>3560162593.0229702</v>
      </c>
      <c r="N83" s="2">
        <f>Planets[[#This Row],[a]]*(1+Planets[[#This Row],[e]])</f>
        <v>3662705467.8056245</v>
      </c>
      <c r="O83" s="2">
        <f>Planets[[#This Row],[a]]*(1-Planets[[#This Row],[e]])</f>
        <v>3457619718.2403159</v>
      </c>
      <c r="P83" t="s">
        <v>396</v>
      </c>
      <c r="R83" s="5">
        <v>1.805E+21</v>
      </c>
    </row>
    <row r="84" spans="1:18" hidden="1" x14ac:dyDescent="0.25">
      <c r="A84" t="s">
        <v>404</v>
      </c>
      <c r="B84">
        <v>24702</v>
      </c>
      <c r="C84" s="3">
        <v>5793939</v>
      </c>
      <c r="D84" s="5"/>
      <c r="E84">
        <v>62063.712</v>
      </c>
      <c r="G84">
        <v>1400</v>
      </c>
      <c r="H84">
        <v>1000</v>
      </c>
      <c r="I84" t="s">
        <v>380</v>
      </c>
      <c r="K84">
        <v>23.672569933436701</v>
      </c>
      <c r="L84">
        <v>4.6206531587184303E-2</v>
      </c>
      <c r="M84" s="2">
        <v>2866832853163.9702</v>
      </c>
      <c r="N84" s="2">
        <f>Planets[[#This Row],[a]]*(1+Planets[[#This Row],[e]])</f>
        <v>2999299255948.8687</v>
      </c>
      <c r="O84" s="2">
        <f>Planets[[#This Row],[a]]*(1-Planets[[#This Row],[e]])</f>
        <v>2734366450379.0713</v>
      </c>
      <c r="P84" t="s">
        <v>381</v>
      </c>
    </row>
    <row r="85" spans="1:18" hidden="1" x14ac:dyDescent="0.25">
      <c r="A85" t="s">
        <v>405</v>
      </c>
      <c r="B85">
        <v>578.9</v>
      </c>
      <c r="C85" s="3"/>
      <c r="D85" s="5"/>
      <c r="I85" t="s">
        <v>380</v>
      </c>
      <c r="K85">
        <v>74.898904302541894</v>
      </c>
      <c r="L85">
        <v>1.90951361476287E-3</v>
      </c>
      <c r="M85" s="2">
        <v>190944364.477622</v>
      </c>
      <c r="N85" s="2">
        <f>Planets[[#This Row],[a]]*(1+Planets[[#This Row],[e]])</f>
        <v>191308975.34125426</v>
      </c>
      <c r="O85" s="2">
        <f>Planets[[#This Row],[a]]*(1-Planets[[#This Row],[e]])</f>
        <v>190579753.61398974</v>
      </c>
      <c r="P85" t="s">
        <v>404</v>
      </c>
      <c r="R85" s="5">
        <v>1.29E+21</v>
      </c>
    </row>
    <row r="86" spans="1:18" hidden="1" x14ac:dyDescent="0.25">
      <c r="A86" t="s">
        <v>406</v>
      </c>
      <c r="B86">
        <v>235.7</v>
      </c>
      <c r="C86" s="3"/>
      <c r="D86" s="5"/>
      <c r="I86" t="s">
        <v>380</v>
      </c>
      <c r="K86">
        <v>78.588754683991297</v>
      </c>
      <c r="L86">
        <v>1.1874126196341299E-3</v>
      </c>
      <c r="M86" s="2">
        <v>129880047.634175</v>
      </c>
      <c r="N86" s="2">
        <f>Planets[[#This Row],[a]]*(1+Planets[[#This Row],[e]])</f>
        <v>130034268.84177449</v>
      </c>
      <c r="O86" s="2">
        <f>Planets[[#This Row],[a]]*(1-Planets[[#This Row],[e]])</f>
        <v>129725826.4265755</v>
      </c>
      <c r="P86" t="s">
        <v>404</v>
      </c>
      <c r="R86" s="5">
        <v>6.6E+19</v>
      </c>
    </row>
    <row r="87" spans="1:18" hidden="1" x14ac:dyDescent="0.25">
      <c r="A87" t="s">
        <v>407</v>
      </c>
      <c r="B87">
        <v>761.4</v>
      </c>
      <c r="C87" s="3"/>
      <c r="D87" s="5"/>
      <c r="I87" t="s">
        <v>380</v>
      </c>
      <c r="K87">
        <v>74.934904975271607</v>
      </c>
      <c r="L87">
        <v>1.10558297330948E-3</v>
      </c>
      <c r="M87" s="2">
        <v>583435328.34060299</v>
      </c>
      <c r="N87" s="2">
        <f>Planets[[#This Row],[a]]*(1+Planets[[#This Row],[e]])</f>
        <v>584080364.50564361</v>
      </c>
      <c r="O87" s="2">
        <f>Planets[[#This Row],[a]]*(1-Planets[[#This Row],[e]])</f>
        <v>582790292.17556238</v>
      </c>
      <c r="P87" t="s">
        <v>404</v>
      </c>
      <c r="R87" s="5">
        <v>2.88E+21</v>
      </c>
    </row>
    <row r="88" spans="1:18" hidden="1" x14ac:dyDescent="0.25">
      <c r="A88" t="s">
        <v>408</v>
      </c>
      <c r="B88">
        <v>788.9</v>
      </c>
      <c r="C88" s="3"/>
      <c r="D88" s="5"/>
      <c r="I88" t="s">
        <v>380</v>
      </c>
      <c r="K88">
        <v>75.045766392999994</v>
      </c>
      <c r="L88">
        <v>2.486916E-3</v>
      </c>
      <c r="M88" s="2">
        <v>436292682.96770298</v>
      </c>
      <c r="N88" s="2">
        <f>Planets[[#This Row],[a]]*(1+Planets[[#This Row],[e]])</f>
        <v>437377706.22165835</v>
      </c>
      <c r="O88" s="2">
        <f>Planets[[#This Row],[a]]*(1-Planets[[#This Row],[e]])</f>
        <v>435207659.71374768</v>
      </c>
      <c r="P88" t="s">
        <v>404</v>
      </c>
      <c r="R88" s="5">
        <v>3.42E+21</v>
      </c>
    </row>
    <row r="89" spans="1:18" hidden="1" x14ac:dyDescent="0.25">
      <c r="A89" t="s">
        <v>409</v>
      </c>
      <c r="B89">
        <v>584.70000000000005</v>
      </c>
      <c r="C89" s="3"/>
      <c r="D89" s="5"/>
      <c r="I89" t="s">
        <v>380</v>
      </c>
      <c r="K89">
        <v>74.993998410870205</v>
      </c>
      <c r="L89">
        <v>3.8334454580725001E-3</v>
      </c>
      <c r="M89" s="2">
        <v>265992360.12765601</v>
      </c>
      <c r="N89" s="2">
        <f>Planets[[#This Row],[a]]*(1+Planets[[#This Row],[e]])</f>
        <v>267012027.33246934</v>
      </c>
      <c r="O89" s="2">
        <f>Planets[[#This Row],[a]]*(1-Planets[[#This Row],[e]])</f>
        <v>264972692.92284265</v>
      </c>
      <c r="P89" t="s">
        <v>404</v>
      </c>
      <c r="R89" s="5">
        <v>1.22E+21</v>
      </c>
    </row>
    <row r="90" spans="1:18" hidden="1" x14ac:dyDescent="0.25">
      <c r="A90" t="s">
        <v>410</v>
      </c>
      <c r="B90">
        <v>24085</v>
      </c>
      <c r="C90" s="3">
        <v>6836529</v>
      </c>
      <c r="D90" s="5"/>
      <c r="E90">
        <v>58000.32</v>
      </c>
      <c r="G90">
        <v>1250</v>
      </c>
      <c r="H90">
        <v>1000</v>
      </c>
      <c r="I90" t="s">
        <v>380</v>
      </c>
      <c r="K90">
        <v>22.307359429649001</v>
      </c>
      <c r="L90">
        <v>8.0903976883640594E-3</v>
      </c>
      <c r="M90" s="2">
        <v>4497455832811.7305</v>
      </c>
      <c r="N90" s="2">
        <f>Planets[[#This Row],[a]]*(1+Planets[[#This Row],[e]])</f>
        <v>4533842039085.0303</v>
      </c>
      <c r="O90" s="2">
        <f>Planets[[#This Row],[a]]*(1-Planets[[#This Row],[e]])</f>
        <v>4461069626538.4307</v>
      </c>
      <c r="P90" t="s">
        <v>381</v>
      </c>
    </row>
    <row r="91" spans="1:18" hidden="1" x14ac:dyDescent="0.25">
      <c r="A91" t="s">
        <v>411</v>
      </c>
      <c r="B91">
        <v>1353.4</v>
      </c>
      <c r="C91" s="3">
        <v>1427.9</v>
      </c>
      <c r="D91" s="5"/>
      <c r="E91">
        <v>507773</v>
      </c>
      <c r="I91" t="s">
        <v>380</v>
      </c>
      <c r="K91">
        <v>156.834</v>
      </c>
      <c r="L91">
        <v>1.6880143597636799E-4</v>
      </c>
      <c r="M91" s="2">
        <v>354767243.54066402</v>
      </c>
      <c r="N91" s="2">
        <f>Planets[[#This Row],[a]]*(1+Planets[[#This Row],[e]])</f>
        <v>354827128.76081109</v>
      </c>
      <c r="O91" s="2">
        <f>Planets[[#This Row],[a]]*(1-Planets[[#This Row],[e]])</f>
        <v>354707358.32051694</v>
      </c>
      <c r="P91" t="s">
        <v>410</v>
      </c>
    </row>
    <row r="92" spans="1:18" hidden="1" x14ac:dyDescent="0.25">
      <c r="A92" t="s">
        <v>412</v>
      </c>
      <c r="B92">
        <v>1187</v>
      </c>
      <c r="C92" s="3"/>
      <c r="D92" s="5"/>
      <c r="E92">
        <v>551856.67200000002</v>
      </c>
      <c r="I92" t="s">
        <v>380</v>
      </c>
      <c r="K92">
        <v>23.612364057528399</v>
      </c>
      <c r="L92">
        <v>0.246277248842598</v>
      </c>
      <c r="M92" s="2">
        <v>5845670624078.2197</v>
      </c>
      <c r="N92" s="2">
        <f>Planets[[#This Row],[a]]*(1+Planets[[#This Row],[e]])</f>
        <v>7285326303016.1963</v>
      </c>
      <c r="O92" s="2">
        <f>Planets[[#This Row],[a]]*(1-Planets[[#This Row],[e]])</f>
        <v>4406014945140.2432</v>
      </c>
      <c r="P92" t="s">
        <v>381</v>
      </c>
      <c r="R92" s="5">
        <v>1.3049999999999999E+22</v>
      </c>
    </row>
    <row r="93" spans="1:18" hidden="1" x14ac:dyDescent="0.25">
      <c r="A93" t="s">
        <v>413</v>
      </c>
      <c r="B93">
        <v>603.5</v>
      </c>
      <c r="C93" s="3"/>
      <c r="D93" s="5"/>
      <c r="E93">
        <v>551856.70655999996</v>
      </c>
      <c r="I93" t="s">
        <v>380</v>
      </c>
      <c r="K93">
        <v>1E-3</v>
      </c>
      <c r="L93">
        <v>5.0822256594489399E-5</v>
      </c>
      <c r="M93" s="2">
        <v>19596193.835403901</v>
      </c>
      <c r="N93" s="2">
        <f>Planets[[#This Row],[a]]*(1+Planets[[#This Row],[e]])</f>
        <v>19597189.758195277</v>
      </c>
      <c r="O93" s="2">
        <f>Planets[[#This Row],[a]]*(1-Planets[[#This Row],[e]])</f>
        <v>19595197.912612524</v>
      </c>
      <c r="P93" t="s">
        <v>412</v>
      </c>
      <c r="R93" s="5">
        <v>1.52E+21</v>
      </c>
    </row>
    <row r="94" spans="1:18" x14ac:dyDescent="0.25">
      <c r="A94" t="s">
        <v>414</v>
      </c>
      <c r="B94">
        <v>175750</v>
      </c>
      <c r="C94">
        <f>Planets[[#This Row],[Radius]]*Planets[[#This Row],[Radius]]*Planets[[#This Row],[Gravity]]*0.00980665</f>
        <v>8390563181.8028126</v>
      </c>
      <c r="D94" s="5">
        <v>27.7</v>
      </c>
      <c r="E94">
        <v>1080000</v>
      </c>
      <c r="F94" t="s">
        <v>100</v>
      </c>
      <c r="G94">
        <v>1600</v>
      </c>
      <c r="H94">
        <v>0.1</v>
      </c>
      <c r="I94" t="s">
        <v>415</v>
      </c>
      <c r="N94" s="5">
        <f>Planets[[#This Row],[a]]*(1+Planets[[#This Row],[e]])</f>
        <v>0</v>
      </c>
      <c r="O94" s="5">
        <f>Planets[[#This Row],[a]]*(1-Planets[[#This Row],[e]])</f>
        <v>0</v>
      </c>
    </row>
    <row r="95" spans="1:18" x14ac:dyDescent="0.25">
      <c r="A95" t="s">
        <v>416</v>
      </c>
      <c r="B95">
        <v>650</v>
      </c>
      <c r="C95">
        <f>Planets[[#This Row],[Radius]]*Planets[[#This Row],[Radius]]*Planets[[#This Row],[Gravity]]*0.00980665</f>
        <v>1201.5597912499998</v>
      </c>
      <c r="D95" s="5">
        <v>0.28999999999999998</v>
      </c>
      <c r="E95">
        <v>3796137.2349663861</v>
      </c>
      <c r="F95">
        <v>26572</v>
      </c>
      <c r="G95">
        <v>0</v>
      </c>
      <c r="H95">
        <v>0</v>
      </c>
      <c r="I95" t="s">
        <v>415</v>
      </c>
      <c r="K95" s="32">
        <v>7</v>
      </c>
      <c r="L95" s="32">
        <v>0.2</v>
      </c>
      <c r="M95" s="34">
        <v>14522400</v>
      </c>
      <c r="N95" s="5">
        <f>Planets[[#This Row],[a]]*(1+Planets[[#This Row],[e]])</f>
        <v>17426880</v>
      </c>
      <c r="O95" s="5">
        <f>Planets[[#This Row],[a]]*(1-Planets[[#This Row],[e]])</f>
        <v>11617920</v>
      </c>
      <c r="P95" s="5" t="s">
        <v>95</v>
      </c>
    </row>
    <row r="96" spans="1:18" x14ac:dyDescent="0.25">
      <c r="A96" t="s">
        <v>417</v>
      </c>
      <c r="B96">
        <v>2050</v>
      </c>
      <c r="C96">
        <f>Planets[[#This Row],[Radius]]*Planets[[#This Row],[Radius]]*Planets[[#This Row],[Gravity]]*0.00980665</f>
        <v>57697.425275000001</v>
      </c>
      <c r="D96" s="5">
        <v>1.4</v>
      </c>
      <c r="E96">
        <v>81000</v>
      </c>
      <c r="F96">
        <v>233567</v>
      </c>
      <c r="G96">
        <v>60</v>
      </c>
      <c r="H96">
        <v>10</v>
      </c>
      <c r="I96" t="s">
        <v>415</v>
      </c>
      <c r="K96" s="32">
        <v>2.1</v>
      </c>
      <c r="L96" s="32">
        <v>0.01</v>
      </c>
      <c r="M96" s="34">
        <v>27131000</v>
      </c>
      <c r="N96" s="5">
        <f>Planets[[#This Row],[a]]*(1+Planets[[#This Row],[e]])</f>
        <v>27402310</v>
      </c>
      <c r="O96" s="5">
        <f>Planets[[#This Row],[a]]*(1-Planets[[#This Row],[e]])</f>
        <v>26859690</v>
      </c>
      <c r="P96" s="5" t="s">
        <v>95</v>
      </c>
    </row>
    <row r="97" spans="1:16" x14ac:dyDescent="0.25">
      <c r="A97" t="s">
        <v>418</v>
      </c>
      <c r="B97">
        <v>30</v>
      </c>
      <c r="C97">
        <f>Planets[[#This Row],[Radius]]*Planets[[#This Row],[Radius]]*Planets[[#This Row],[Gravity]]*0.00980665</f>
        <v>6.6194887499999994E-2</v>
      </c>
      <c r="D97" s="5">
        <v>7.4999999999999997E-3</v>
      </c>
      <c r="E97">
        <v>670318.53484023141</v>
      </c>
      <c r="F97">
        <v>366</v>
      </c>
      <c r="G97">
        <v>0</v>
      </c>
      <c r="H97">
        <v>0</v>
      </c>
      <c r="I97" t="s">
        <v>415</v>
      </c>
      <c r="K97" s="32">
        <v>12</v>
      </c>
      <c r="L97" s="32">
        <v>0.55000000000000004</v>
      </c>
      <c r="M97" s="33">
        <v>86920</v>
      </c>
      <c r="N97" s="5">
        <f>Planets[[#This Row],[a]]*(1+Planets[[#This Row],[e]])</f>
        <v>134726</v>
      </c>
      <c r="O97" s="5">
        <f>Planets[[#This Row],[a]]*(1-Planets[[#This Row],[e]])</f>
        <v>39113.999999999993</v>
      </c>
      <c r="P97" s="5" t="s">
        <v>97</v>
      </c>
    </row>
    <row r="98" spans="1:16" x14ac:dyDescent="0.25">
      <c r="A98" t="s">
        <v>419</v>
      </c>
      <c r="B98">
        <v>1600</v>
      </c>
      <c r="C98">
        <f>Planets[[#This Row],[Radius]]*Planets[[#This Row],[Radius]]*Planets[[#This Row],[Gravity]]*0.00980665</f>
        <v>25113.559708159999</v>
      </c>
      <c r="D98" s="5">
        <v>1.00034</v>
      </c>
      <c r="E98">
        <v>43200</v>
      </c>
      <c r="F98">
        <v>231588</v>
      </c>
      <c r="G98">
        <v>85</v>
      </c>
      <c r="H98">
        <v>1</v>
      </c>
      <c r="I98" t="s">
        <v>415</v>
      </c>
      <c r="J98" t="s">
        <v>155</v>
      </c>
      <c r="K98" s="32">
        <v>0</v>
      </c>
      <c r="L98" s="32">
        <v>0.02</v>
      </c>
      <c r="M98" s="33">
        <v>37525647.898432396</v>
      </c>
      <c r="N98" s="5">
        <f>Planets[[#This Row],[a]]*(1+Planets[[#This Row],[e]])</f>
        <v>38276160.856401049</v>
      </c>
      <c r="O98" s="5">
        <f>Planets[[#This Row],[a]]*(1-Planets[[#This Row],[e]])</f>
        <v>36775134.940463744</v>
      </c>
      <c r="P98" s="5" t="s">
        <v>95</v>
      </c>
    </row>
    <row r="99" spans="1:16" x14ac:dyDescent="0.25">
      <c r="A99" t="s">
        <v>420</v>
      </c>
      <c r="B99">
        <v>400</v>
      </c>
      <c r="C99">
        <f>Planets[[#This Row],[Radius]]*Planets[[#This Row],[Radius]]*Planets[[#This Row],[Gravity]]*0.00980665</f>
        <v>227.51428000000001</v>
      </c>
      <c r="D99" s="5">
        <v>0.14499999999999999</v>
      </c>
      <c r="E99">
        <v>1087680.6637274774</v>
      </c>
      <c r="F99">
        <v>13860</v>
      </c>
      <c r="G99">
        <v>0</v>
      </c>
      <c r="H99">
        <v>0</v>
      </c>
      <c r="I99" t="s">
        <v>415</v>
      </c>
      <c r="K99" s="32">
        <v>0.5</v>
      </c>
      <c r="L99" s="32">
        <v>5.0000000000000001E-3</v>
      </c>
      <c r="M99" s="33">
        <v>90960</v>
      </c>
      <c r="N99" s="5">
        <f>Planets[[#This Row],[a]]*(1+Planets[[#This Row],[e]])</f>
        <v>91414.799999999988</v>
      </c>
      <c r="O99" s="5">
        <f>Planets[[#This Row],[a]]*(1-Planets[[#This Row],[e]])</f>
        <v>90505.2</v>
      </c>
      <c r="P99" s="5" t="s">
        <v>101</v>
      </c>
    </row>
    <row r="100" spans="1:16" x14ac:dyDescent="0.25">
      <c r="A100" t="s">
        <v>421</v>
      </c>
      <c r="B100">
        <v>160</v>
      </c>
      <c r="C100">
        <f>Planets[[#This Row],[Radius]]*Planets[[#This Row],[Radius]]*Planets[[#This Row],[Gravity]]*0.00980665</f>
        <v>12.5575330048</v>
      </c>
      <c r="D100" s="5">
        <v>5.0020000000000002E-2</v>
      </c>
      <c r="E100">
        <v>32400</v>
      </c>
      <c r="F100">
        <v>7028</v>
      </c>
      <c r="G100">
        <v>0</v>
      </c>
      <c r="H100">
        <v>0</v>
      </c>
      <c r="I100" t="s">
        <v>415</v>
      </c>
      <c r="K100" s="32">
        <v>6</v>
      </c>
      <c r="L100" s="32">
        <v>0.03</v>
      </c>
      <c r="M100" s="33">
        <v>146970</v>
      </c>
      <c r="N100" s="5">
        <f>Planets[[#This Row],[a]]*(1+Planets[[#This Row],[e]])</f>
        <v>151379.1</v>
      </c>
      <c r="O100" s="5">
        <f>Planets[[#This Row],[a]]*(1-Planets[[#This Row],[e]])</f>
        <v>142560.9</v>
      </c>
      <c r="P100" s="5" t="s">
        <v>101</v>
      </c>
    </row>
    <row r="101" spans="1:16" x14ac:dyDescent="0.25">
      <c r="A101" t="s">
        <v>422</v>
      </c>
      <c r="B101">
        <v>800</v>
      </c>
      <c r="C101">
        <f>Planets[[#This Row],[Radius]]*Planets[[#This Row],[Radius]]*Planets[[#This Row],[Gravity]]*0.00980665</f>
        <v>2133.9270400000005</v>
      </c>
      <c r="D101" s="5">
        <v>0.34</v>
      </c>
      <c r="E101">
        <v>50400</v>
      </c>
      <c r="F101">
        <v>131664</v>
      </c>
      <c r="G101">
        <v>70</v>
      </c>
      <c r="H101">
        <v>0.04</v>
      </c>
      <c r="I101" t="s">
        <v>415</v>
      </c>
      <c r="K101" s="32">
        <v>0.06</v>
      </c>
      <c r="L101" s="32">
        <v>5.0999999999999997E-2</v>
      </c>
      <c r="M101" s="34">
        <v>57189100</v>
      </c>
      <c r="N101" s="5">
        <f>Planets[[#This Row],[a]]*(1+Planets[[#This Row],[e]])</f>
        <v>60105744.099999994</v>
      </c>
      <c r="O101" s="5">
        <f>Planets[[#This Row],[a]]*(1-Planets[[#This Row],[e]])</f>
        <v>54272455.899999999</v>
      </c>
      <c r="P101" s="5" t="s">
        <v>95</v>
      </c>
    </row>
    <row r="102" spans="1:16" x14ac:dyDescent="0.25">
      <c r="A102" t="s">
        <v>423</v>
      </c>
      <c r="B102">
        <v>210</v>
      </c>
      <c r="C102">
        <f>Planets[[#This Row],[Radius]]*Planets[[#This Row],[Radius]]*Planets[[#This Row],[Gravity]]*0.00980665</f>
        <v>25.948395900000001</v>
      </c>
      <c r="D102" s="5">
        <v>0.06</v>
      </c>
      <c r="E102">
        <v>955507.44559247606</v>
      </c>
      <c r="F102">
        <v>6286</v>
      </c>
      <c r="G102">
        <v>0</v>
      </c>
      <c r="H102">
        <v>0</v>
      </c>
      <c r="I102" t="s">
        <v>415</v>
      </c>
      <c r="K102" s="32">
        <v>0.2</v>
      </c>
      <c r="L102" s="32">
        <v>0.03</v>
      </c>
      <c r="M102" s="33">
        <v>36680</v>
      </c>
      <c r="N102" s="5">
        <f>Planets[[#This Row],[a]]*(1+Planets[[#This Row],[e]])</f>
        <v>37780.400000000001</v>
      </c>
      <c r="O102" s="5">
        <f>Planets[[#This Row],[a]]*(1-Planets[[#This Row],[e]])</f>
        <v>35579.599999999999</v>
      </c>
      <c r="P102" s="5" t="s">
        <v>104</v>
      </c>
    </row>
    <row r="103" spans="1:16" x14ac:dyDescent="0.25">
      <c r="A103" t="s">
        <v>424</v>
      </c>
      <c r="B103">
        <v>260</v>
      </c>
      <c r="C103">
        <f>Planets[[#This Row],[Radius]]*Planets[[#This Row],[Radius]]*Planets[[#This Row],[Gravity]]*0.00980665</f>
        <v>53.034363200000001</v>
      </c>
      <c r="D103" s="5">
        <v>0.08</v>
      </c>
      <c r="E103">
        <v>10800</v>
      </c>
      <c r="F103">
        <v>49409</v>
      </c>
      <c r="G103">
        <v>0</v>
      </c>
      <c r="H103">
        <v>0</v>
      </c>
      <c r="I103" t="s">
        <v>415</v>
      </c>
      <c r="K103" s="32">
        <v>3</v>
      </c>
      <c r="L103" s="32">
        <v>7.0000000000000007E-2</v>
      </c>
      <c r="M103" s="33">
        <v>94080000</v>
      </c>
      <c r="N103" s="5">
        <f>Planets[[#This Row],[a]]*(1+Planets[[#This Row],[e]])</f>
        <v>100665600</v>
      </c>
      <c r="O103" s="5">
        <f>Planets[[#This Row],[a]]*(1-Planets[[#This Row],[e]])</f>
        <v>87494400</v>
      </c>
      <c r="P103" s="5" t="s">
        <v>95</v>
      </c>
    </row>
    <row r="104" spans="1:16" x14ac:dyDescent="0.25">
      <c r="A104" t="s">
        <v>425</v>
      </c>
      <c r="B104">
        <v>20</v>
      </c>
      <c r="C104">
        <f>Planets[[#This Row],[Radius]]*Planets[[#This Row],[Radius]]*Planets[[#This Row],[Gravity]]*0.00980665</f>
        <v>3.1381280000000004E-2</v>
      </c>
      <c r="D104" s="5">
        <v>8.0000000000000002E-3</v>
      </c>
      <c r="E104">
        <v>284235.78721862118</v>
      </c>
      <c r="F104">
        <v>244</v>
      </c>
      <c r="G104">
        <v>0</v>
      </c>
      <c r="H104">
        <v>0</v>
      </c>
      <c r="I104" t="s">
        <v>415</v>
      </c>
      <c r="K104" s="32">
        <v>10</v>
      </c>
      <c r="L104" s="32">
        <v>0.01</v>
      </c>
      <c r="M104" s="33">
        <v>4770</v>
      </c>
      <c r="N104" s="5">
        <f>Planets[[#This Row],[a]]*(1+Planets[[#This Row],[e]])</f>
        <v>4817.7</v>
      </c>
      <c r="O104" s="5">
        <f>Planets[[#This Row],[a]]*(1-Planets[[#This Row],[e]])</f>
        <v>4722.3</v>
      </c>
      <c r="P104" s="5" t="s">
        <v>426</v>
      </c>
    </row>
    <row r="105" spans="1:16" x14ac:dyDescent="0.25">
      <c r="A105" t="s">
        <v>427</v>
      </c>
      <c r="B105">
        <v>360</v>
      </c>
      <c r="C105">
        <f>Planets[[#This Row],[Radius]]*Planets[[#This Row],[Radius]]*Planets[[#This Row],[Gravity]]*0.00980665</f>
        <v>152.51302079999999</v>
      </c>
      <c r="D105" s="5">
        <v>0.12</v>
      </c>
      <c r="E105">
        <v>16200</v>
      </c>
      <c r="F105">
        <v>90298</v>
      </c>
      <c r="G105">
        <v>0</v>
      </c>
      <c r="H105">
        <v>0</v>
      </c>
      <c r="I105" t="s">
        <v>415</v>
      </c>
      <c r="K105" s="32">
        <v>5</v>
      </c>
      <c r="L105" s="32">
        <v>0.14499999999999999</v>
      </c>
      <c r="M105" s="34">
        <v>112687000</v>
      </c>
      <c r="N105" s="5">
        <f>Planets[[#This Row],[a]]*(1+Planets[[#This Row],[e]])</f>
        <v>129026615</v>
      </c>
      <c r="O105" s="5">
        <f>Planets[[#This Row],[a]]*(1-Planets[[#This Row],[e]])</f>
        <v>96347385</v>
      </c>
      <c r="P105" s="5" t="s">
        <v>95</v>
      </c>
    </row>
    <row r="106" spans="1:16" x14ac:dyDescent="0.25">
      <c r="A106" t="s">
        <v>428</v>
      </c>
      <c r="B106">
        <v>14000</v>
      </c>
      <c r="C106">
        <f>Planets[[#This Row],[Radius]]*Planets[[#This Row],[Radius]]*Planets[[#This Row],[Gravity]]*0.00980665</f>
        <v>1998987.5360000001</v>
      </c>
      <c r="D106" s="5">
        <v>1.04</v>
      </c>
      <c r="E106">
        <v>19800</v>
      </c>
      <c r="F106">
        <v>6745648</v>
      </c>
      <c r="G106">
        <v>700</v>
      </c>
      <c r="H106">
        <v>15</v>
      </c>
      <c r="I106" t="s">
        <v>415</v>
      </c>
      <c r="K106" s="32">
        <v>1.304</v>
      </c>
      <c r="L106" s="32">
        <v>0.05</v>
      </c>
      <c r="M106" s="33">
        <v>189765000</v>
      </c>
      <c r="N106" s="5">
        <f>Planets[[#This Row],[a]]*(1+Planets[[#This Row],[e]])</f>
        <v>199253250</v>
      </c>
      <c r="O106" s="5">
        <f>Planets[[#This Row],[a]]*(1-Planets[[#This Row],[e]])</f>
        <v>180276750</v>
      </c>
      <c r="P106" s="5" t="s">
        <v>95</v>
      </c>
    </row>
    <row r="107" spans="1:16" x14ac:dyDescent="0.25">
      <c r="A107" t="s">
        <v>429</v>
      </c>
      <c r="B107">
        <v>1100</v>
      </c>
      <c r="C107">
        <f>Planets[[#This Row],[Radius]]*Planets[[#This Row],[Radius]]*Planets[[#This Row],[Gravity]]*0.00980665</f>
        <v>6882.3069699999996</v>
      </c>
      <c r="D107" s="5">
        <v>0.57999999999999996</v>
      </c>
      <c r="E107">
        <v>115299.75343623255</v>
      </c>
      <c r="F107">
        <v>9067</v>
      </c>
      <c r="G107">
        <v>75</v>
      </c>
      <c r="H107">
        <v>0.6</v>
      </c>
      <c r="I107" t="s">
        <v>415</v>
      </c>
      <c r="J107" t="s">
        <v>155</v>
      </c>
      <c r="K107" s="32">
        <v>0.2</v>
      </c>
      <c r="L107" s="32">
        <v>0.01</v>
      </c>
      <c r="M107" s="33">
        <v>87640</v>
      </c>
      <c r="N107" s="5">
        <f>Planets[[#This Row],[a]]*(1+Planets[[#This Row],[e]])</f>
        <v>88516.4</v>
      </c>
      <c r="O107" s="5">
        <f>Planets[[#This Row],[a]]*(1-Planets[[#This Row],[e]])</f>
        <v>86763.6</v>
      </c>
      <c r="P107" s="5" t="s">
        <v>107</v>
      </c>
    </row>
    <row r="108" spans="1:16" x14ac:dyDescent="0.25">
      <c r="A108" t="s">
        <v>430</v>
      </c>
      <c r="B108">
        <v>550</v>
      </c>
      <c r="C108">
        <f>Planets[[#This Row],[Radius]]*Planets[[#This Row],[Radius]]*Planets[[#This Row],[Gravity]]*0.00980665</f>
        <v>533.97209250000003</v>
      </c>
      <c r="D108" s="5">
        <v>0.18</v>
      </c>
      <c r="E108">
        <v>285030.00096071046</v>
      </c>
      <c r="F108">
        <v>5962</v>
      </c>
      <c r="G108">
        <v>0</v>
      </c>
      <c r="H108">
        <v>0</v>
      </c>
      <c r="I108" t="s">
        <v>415</v>
      </c>
      <c r="K108" s="32">
        <v>0.3</v>
      </c>
      <c r="L108" s="32">
        <v>0.03</v>
      </c>
      <c r="M108" s="33">
        <v>160230</v>
      </c>
      <c r="N108" s="5">
        <f>Planets[[#This Row],[a]]*(1+Planets[[#This Row],[e]])</f>
        <v>165036.9</v>
      </c>
      <c r="O108" s="5">
        <f>Planets[[#This Row],[a]]*(1-Planets[[#This Row],[e]])</f>
        <v>155423.1</v>
      </c>
      <c r="P108" s="5" t="s">
        <v>107</v>
      </c>
    </row>
    <row r="109" spans="1:16" x14ac:dyDescent="0.25">
      <c r="A109" t="s">
        <v>431</v>
      </c>
      <c r="B109">
        <v>900</v>
      </c>
      <c r="C109">
        <f>Planets[[#This Row],[Radius]]*Planets[[#This Row],[Radius]]*Planets[[#This Row],[Gravity]]*0.00980665</f>
        <v>2541.8836799999999</v>
      </c>
      <c r="D109" s="5">
        <v>0.32</v>
      </c>
      <c r="E109">
        <v>704636.4074863788</v>
      </c>
      <c r="F109">
        <v>20348</v>
      </c>
      <c r="G109">
        <v>85</v>
      </c>
      <c r="H109">
        <v>0.2</v>
      </c>
      <c r="I109" t="s">
        <v>415</v>
      </c>
      <c r="K109" s="32">
        <v>0.1</v>
      </c>
      <c r="L109" s="32">
        <v>0.01</v>
      </c>
      <c r="M109" s="33">
        <v>292950</v>
      </c>
      <c r="N109" s="5">
        <f>Planets[[#This Row],[a]]*(1+Planets[[#This Row],[e]])</f>
        <v>295879.5</v>
      </c>
      <c r="O109" s="5">
        <f>Planets[[#This Row],[a]]*(1-Planets[[#This Row],[e]])</f>
        <v>290020.5</v>
      </c>
      <c r="P109" s="5" t="s">
        <v>107</v>
      </c>
    </row>
    <row r="110" spans="1:16" x14ac:dyDescent="0.25">
      <c r="A110" t="s">
        <v>432</v>
      </c>
      <c r="B110">
        <v>190</v>
      </c>
      <c r="C110">
        <f>Planets[[#This Row],[Radius]]*Planets[[#This Row],[Radius]]*Planets[[#This Row],[Gravity]]*0.00980665</f>
        <v>17.701003249999999</v>
      </c>
      <c r="D110" s="5">
        <v>0.05</v>
      </c>
      <c r="E110">
        <v>1978081.2878190691</v>
      </c>
      <c r="F110">
        <v>5553</v>
      </c>
      <c r="G110">
        <v>0</v>
      </c>
      <c r="H110">
        <v>0</v>
      </c>
      <c r="I110" t="s">
        <v>415</v>
      </c>
      <c r="K110" s="32">
        <v>15</v>
      </c>
      <c r="L110" s="32">
        <v>0.23499999999999999</v>
      </c>
      <c r="M110" s="33">
        <v>582970</v>
      </c>
      <c r="N110" s="5">
        <f>Planets[[#This Row],[a]]*(1+Planets[[#This Row],[e]])</f>
        <v>719967.95</v>
      </c>
      <c r="O110" s="5">
        <f>Planets[[#This Row],[a]]*(1-Planets[[#This Row],[e]])</f>
        <v>445972.05</v>
      </c>
      <c r="P110" s="5" t="s">
        <v>107</v>
      </c>
    </row>
    <row r="111" spans="1:16" x14ac:dyDescent="0.25">
      <c r="A111" t="s">
        <v>433</v>
      </c>
      <c r="B111">
        <v>130</v>
      </c>
      <c r="C111">
        <f>Planets[[#This Row],[Radius]]*Planets[[#This Row],[Radius]]*Planets[[#This Row],[Gravity]]*0.00980665</f>
        <v>4.9719715500000001</v>
      </c>
      <c r="D111" s="5">
        <v>0.03</v>
      </c>
      <c r="E111">
        <v>18000</v>
      </c>
      <c r="F111">
        <v>4238</v>
      </c>
      <c r="G111">
        <v>0</v>
      </c>
      <c r="H111">
        <v>0</v>
      </c>
      <c r="I111" t="s">
        <v>415</v>
      </c>
      <c r="K111" s="32">
        <v>4.25</v>
      </c>
      <c r="L111" s="32">
        <v>0.17085</v>
      </c>
      <c r="M111" s="33">
        <v>739460</v>
      </c>
      <c r="N111" s="5">
        <f>Planets[[#This Row],[a]]*(1+Planets[[#This Row],[e]])</f>
        <v>865796.74099999992</v>
      </c>
      <c r="O111" s="5">
        <f>Planets[[#This Row],[a]]*(1-Planets[[#This Row],[e]])</f>
        <v>613123.25900000008</v>
      </c>
      <c r="P111" s="5" t="s">
        <v>107</v>
      </c>
    </row>
    <row r="112" spans="1:16" x14ac:dyDescent="0.25">
      <c r="A112" t="s">
        <v>434</v>
      </c>
      <c r="B112">
        <v>8000</v>
      </c>
      <c r="C112">
        <f>Planets[[#This Row],[Radius]]*Planets[[#This Row],[Radius]]*Planets[[#This Row],[Gravity]]*0.00980665</f>
        <v>589968.06400000001</v>
      </c>
      <c r="D112" s="5">
        <v>0.94</v>
      </c>
      <c r="E112">
        <v>25200</v>
      </c>
      <c r="F112">
        <v>7845120</v>
      </c>
      <c r="G112">
        <v>540</v>
      </c>
      <c r="H112">
        <v>15</v>
      </c>
      <c r="I112" t="s">
        <v>415</v>
      </c>
      <c r="K112" s="32">
        <v>1.7</v>
      </c>
      <c r="L112" s="32">
        <v>0.03</v>
      </c>
      <c r="M112" s="33">
        <v>359571000</v>
      </c>
      <c r="N112" s="5">
        <f>Planets[[#This Row],[a]]*(1+Planets[[#This Row],[e]])</f>
        <v>370358130</v>
      </c>
      <c r="O112" s="5">
        <f>Planets[[#This Row],[a]]*(1-Planets[[#This Row],[e]])</f>
        <v>348783870</v>
      </c>
      <c r="P112" s="5" t="s">
        <v>95</v>
      </c>
    </row>
    <row r="113" spans="1:16" x14ac:dyDescent="0.25">
      <c r="A113" t="s">
        <v>435</v>
      </c>
      <c r="B113">
        <v>150</v>
      </c>
      <c r="C113">
        <f>Planets[[#This Row],[Radius]]*Planets[[#This Row],[Radius]]*Planets[[#This Row],[Gravity]]*0.00980665</f>
        <v>6.6194887500000004</v>
      </c>
      <c r="D113" s="5">
        <v>0.03</v>
      </c>
      <c r="E113">
        <v>116041.15445521126</v>
      </c>
      <c r="F113">
        <v>614</v>
      </c>
      <c r="G113">
        <v>0</v>
      </c>
      <c r="H113">
        <v>0</v>
      </c>
      <c r="I113" t="s">
        <v>415</v>
      </c>
      <c r="K113" s="32">
        <v>1.5</v>
      </c>
      <c r="L113" s="32">
        <v>0.02</v>
      </c>
      <c r="M113" s="33">
        <v>58600</v>
      </c>
      <c r="N113" s="5">
        <f>Planets[[#This Row],[a]]*(1+Planets[[#This Row],[e]])</f>
        <v>59772</v>
      </c>
      <c r="O113" s="5">
        <f>Planets[[#This Row],[a]]*(1-Planets[[#This Row],[e]])</f>
        <v>57428</v>
      </c>
      <c r="P113" s="5" t="s">
        <v>434</v>
      </c>
    </row>
    <row r="114" spans="1:16" x14ac:dyDescent="0.25">
      <c r="A114" t="s">
        <v>436</v>
      </c>
      <c r="B114">
        <v>300</v>
      </c>
      <c r="C114">
        <f>Planets[[#This Row],[Radius]]*Planets[[#This Row],[Radius]]*Planets[[#This Row],[Gravity]]*0.00980665</f>
        <v>61.781895000000013</v>
      </c>
      <c r="D114" s="5">
        <v>7.0000000000000007E-2</v>
      </c>
      <c r="E114">
        <v>286875.24899704044</v>
      </c>
      <c r="F114">
        <v>2741</v>
      </c>
      <c r="G114">
        <v>0</v>
      </c>
      <c r="H114">
        <v>0</v>
      </c>
      <c r="I114" t="s">
        <v>415</v>
      </c>
      <c r="K114" s="32">
        <v>0.25</v>
      </c>
      <c r="L114" s="32">
        <v>0.01</v>
      </c>
      <c r="M114" s="33">
        <v>107140</v>
      </c>
      <c r="N114" s="5">
        <f>Planets[[#This Row],[a]]*(1+Planets[[#This Row],[e]])</f>
        <v>108211.4</v>
      </c>
      <c r="O114" s="5">
        <f>Planets[[#This Row],[a]]*(1-Planets[[#This Row],[e]])</f>
        <v>106068.6</v>
      </c>
      <c r="P114" s="5" t="s">
        <v>434</v>
      </c>
    </row>
    <row r="115" spans="1:16" x14ac:dyDescent="0.25">
      <c r="A115" t="s">
        <v>437</v>
      </c>
      <c r="B115">
        <v>670</v>
      </c>
      <c r="C115">
        <f>Planets[[#This Row],[Radius]]*Planets[[#This Row],[Radius]]*Planets[[#This Row],[Gravity]]*0.00980665</f>
        <v>660.33077775000004</v>
      </c>
      <c r="D115" s="5">
        <v>0.15</v>
      </c>
      <c r="E115">
        <v>664152.06128300633</v>
      </c>
      <c r="F115">
        <v>12376</v>
      </c>
      <c r="G115">
        <v>180</v>
      </c>
      <c r="H115">
        <v>1.5</v>
      </c>
      <c r="I115" t="s">
        <v>415</v>
      </c>
      <c r="K115" s="32">
        <v>0.75</v>
      </c>
      <c r="L115" s="32">
        <v>2.5000000000000001E-2</v>
      </c>
      <c r="M115" s="33">
        <v>187500</v>
      </c>
      <c r="N115" s="5">
        <f>Planets[[#This Row],[a]]*(1+Planets[[#This Row],[e]])</f>
        <v>192187.49999999997</v>
      </c>
      <c r="O115" s="5">
        <f>Planets[[#This Row],[a]]*(1-Planets[[#This Row],[e]])</f>
        <v>182812.5</v>
      </c>
      <c r="P115" s="5" t="s">
        <v>434</v>
      </c>
    </row>
    <row r="116" spans="1:16" x14ac:dyDescent="0.25">
      <c r="A116" t="s">
        <v>438</v>
      </c>
      <c r="B116">
        <v>750</v>
      </c>
      <c r="C116">
        <f>Planets[[#This Row],[Radius]]*Planets[[#This Row],[Radius]]*Planets[[#This Row],[Gravity]]*0.00980665</f>
        <v>992.92331250000007</v>
      </c>
      <c r="D116" s="5">
        <v>0.18</v>
      </c>
      <c r="E116">
        <v>1407680.0945273684</v>
      </c>
      <c r="F116">
        <v>24040</v>
      </c>
      <c r="G116">
        <v>90</v>
      </c>
      <c r="H116">
        <v>0.06</v>
      </c>
      <c r="I116" t="s">
        <v>415</v>
      </c>
      <c r="K116" s="32">
        <v>0.5</v>
      </c>
      <c r="L116" s="32">
        <v>0.03</v>
      </c>
      <c r="M116" s="33">
        <v>309380</v>
      </c>
      <c r="N116" s="5">
        <f>Planets[[#This Row],[a]]*(1+Planets[[#This Row],[e]])</f>
        <v>318661.40000000002</v>
      </c>
      <c r="O116" s="5">
        <f>Planets[[#This Row],[a]]*(1-Planets[[#This Row],[e]])</f>
        <v>300098.59999999998</v>
      </c>
      <c r="P116" s="5" t="s">
        <v>434</v>
      </c>
    </row>
    <row r="117" spans="1:16" x14ac:dyDescent="0.25">
      <c r="A117" t="s">
        <v>439</v>
      </c>
      <c r="B117">
        <v>500</v>
      </c>
      <c r="C117">
        <f>Planets[[#This Row],[Radius]]*Planets[[#This Row],[Radius]]*Planets[[#This Row],[Gravity]]*0.00980665</f>
        <v>269.68287500000002</v>
      </c>
      <c r="D117" s="5">
        <v>0.11</v>
      </c>
      <c r="E117">
        <v>3573035.4844202367</v>
      </c>
      <c r="F117">
        <v>26558</v>
      </c>
      <c r="G117">
        <v>0</v>
      </c>
      <c r="H117">
        <v>0</v>
      </c>
      <c r="I117" t="s">
        <v>415</v>
      </c>
      <c r="K117" s="32">
        <v>1</v>
      </c>
      <c r="L117" s="32">
        <v>0.04</v>
      </c>
      <c r="M117" s="33">
        <v>575680</v>
      </c>
      <c r="N117" s="5">
        <f>Planets[[#This Row],[a]]*(1+Planets[[#This Row],[e]])</f>
        <v>598707.20000000007</v>
      </c>
      <c r="O117" s="5">
        <f>Planets[[#This Row],[a]]*(1-Planets[[#This Row],[e]])</f>
        <v>552652.79999999993</v>
      </c>
      <c r="P117" s="5" t="s">
        <v>434</v>
      </c>
    </row>
    <row r="118" spans="1:16" x14ac:dyDescent="0.25">
      <c r="A118" t="s">
        <v>440</v>
      </c>
      <c r="B118">
        <v>600</v>
      </c>
      <c r="C118">
        <f>Planets[[#This Row],[Radius]]*Planets[[#This Row],[Radius]]*Planets[[#This Row],[Gravity]]*0.00980665</f>
        <v>529.55910000000006</v>
      </c>
      <c r="D118" s="5">
        <v>0.15</v>
      </c>
      <c r="E118">
        <v>14400</v>
      </c>
      <c r="F118">
        <v>621195</v>
      </c>
      <c r="G118">
        <v>80</v>
      </c>
      <c r="H118">
        <v>0.02</v>
      </c>
      <c r="I118" t="s">
        <v>415</v>
      </c>
      <c r="K118" s="32">
        <v>6.15</v>
      </c>
      <c r="L118" s="32">
        <v>0.26</v>
      </c>
      <c r="M118" s="33">
        <v>471171300</v>
      </c>
      <c r="N118" s="5">
        <f>Planets[[#This Row],[a]]*(1+Planets[[#This Row],[e]])</f>
        <v>593675838</v>
      </c>
      <c r="O118" s="5">
        <f>Planets[[#This Row],[a]]*(1-Planets[[#This Row],[e]])</f>
        <v>348666762</v>
      </c>
      <c r="P118" s="5" t="s">
        <v>95</v>
      </c>
    </row>
    <row r="119" spans="1:16" x14ac:dyDescent="0.25">
      <c r="A119" t="s">
        <v>441</v>
      </c>
      <c r="B119">
        <v>200</v>
      </c>
      <c r="C119">
        <f>Planets[[#This Row],[Radius]]*Planets[[#This Row],[Radius]]*Planets[[#This Row],[Gravity]]*0.00980665</f>
        <v>15.69064</v>
      </c>
      <c r="D119" s="5">
        <v>0.04</v>
      </c>
      <c r="E119">
        <v>1548329.2940897108</v>
      </c>
      <c r="F119">
        <v>7782</v>
      </c>
      <c r="G119">
        <v>0</v>
      </c>
      <c r="H119">
        <v>0</v>
      </c>
      <c r="I119" t="s">
        <v>415</v>
      </c>
      <c r="K119" s="32">
        <v>10</v>
      </c>
      <c r="L119" s="32">
        <v>0.05</v>
      </c>
      <c r="M119" s="33">
        <v>31800</v>
      </c>
      <c r="N119" s="5">
        <f>Planets[[#This Row],[a]]*(1+Planets[[#This Row],[e]])</f>
        <v>33390</v>
      </c>
      <c r="O119" s="5">
        <f>Planets[[#This Row],[a]]*(1-Planets[[#This Row],[e]])</f>
        <v>30210</v>
      </c>
      <c r="P119" s="5" t="s">
        <v>113</v>
      </c>
    </row>
    <row r="120" spans="1:16" x14ac:dyDescent="0.25">
      <c r="A120" t="s">
        <v>442</v>
      </c>
      <c r="B120">
        <v>10</v>
      </c>
      <c r="C120">
        <f>Planets[[#This Row],[Radius]]*Planets[[#This Row],[Radius]]*Planets[[#This Row],[Gravity]]*0.00980665</f>
        <v>3.4323275000000004E-3</v>
      </c>
      <c r="D120" s="5">
        <v>3.5000000000000001E-3</v>
      </c>
      <c r="E120">
        <v>4490316.3836401859</v>
      </c>
      <c r="F120">
        <v>544</v>
      </c>
      <c r="G120">
        <v>0</v>
      </c>
      <c r="H120">
        <v>0</v>
      </c>
      <c r="I120" t="s">
        <v>415</v>
      </c>
      <c r="K120" s="32">
        <v>9.5</v>
      </c>
      <c r="L120" s="32">
        <v>2.5000000000000001E-2</v>
      </c>
      <c r="M120" s="33">
        <v>64670</v>
      </c>
      <c r="N120" s="5">
        <f>Planets[[#This Row],[a]]*(1+Planets[[#This Row],[e]])</f>
        <v>66286.75</v>
      </c>
      <c r="O120" s="5">
        <f>Planets[[#This Row],[a]]*(1-Planets[[#This Row],[e]])</f>
        <v>63053.25</v>
      </c>
      <c r="P120" s="5" t="s">
        <v>113</v>
      </c>
    </row>
    <row r="121" spans="1:16" x14ac:dyDescent="0.25">
      <c r="A121" t="s">
        <v>443</v>
      </c>
      <c r="B121">
        <v>450</v>
      </c>
      <c r="C121">
        <f>Planets[[#This Row],[Radius]]*Planets[[#This Row],[Radius]]*Planets[[#This Row],[Gravity]]*0.00980665</f>
        <v>198.58466250000001</v>
      </c>
      <c r="D121" s="5">
        <v>0.1</v>
      </c>
      <c r="E121">
        <v>14400</v>
      </c>
      <c r="F121">
        <v>469439</v>
      </c>
      <c r="G121">
        <v>0</v>
      </c>
      <c r="H121">
        <v>0</v>
      </c>
      <c r="I121" t="s">
        <v>415</v>
      </c>
      <c r="K121" s="32">
        <v>4</v>
      </c>
      <c r="L121" s="32">
        <v>0.1</v>
      </c>
      <c r="M121" s="33">
        <v>527129000</v>
      </c>
      <c r="N121" s="5">
        <f>Planets[[#This Row],[a]]*(1+Planets[[#This Row],[e]])</f>
        <v>579841900</v>
      </c>
      <c r="O121" s="5">
        <f>Planets[[#This Row],[a]]*(1-Planets[[#This Row],[e]])</f>
        <v>474416100</v>
      </c>
      <c r="P121" s="5" t="s">
        <v>95</v>
      </c>
    </row>
    <row r="122" spans="1:16" x14ac:dyDescent="0.25">
      <c r="A122" t="s">
        <v>444</v>
      </c>
      <c r="B122">
        <v>3600</v>
      </c>
      <c r="C122">
        <f>Planets[[#This Row],[Radius]]*Planets[[#This Row],[Radius]]*Planets[[#This Row],[Gravity]]*0.00980665</f>
        <v>127094.18400000001</v>
      </c>
      <c r="D122" s="5">
        <v>1</v>
      </c>
      <c r="E122">
        <v>43200</v>
      </c>
      <c r="F122">
        <v>20213317</v>
      </c>
      <c r="G122">
        <v>200</v>
      </c>
      <c r="H122">
        <v>40</v>
      </c>
      <c r="I122" t="s">
        <v>415</v>
      </c>
      <c r="K122" s="32">
        <v>20</v>
      </c>
      <c r="L122" s="32">
        <v>0.35</v>
      </c>
      <c r="M122" s="33">
        <v>1712000000</v>
      </c>
      <c r="N122" s="5">
        <f>Planets[[#This Row],[a]]*(1+Planets[[#This Row],[e]])</f>
        <v>2311200000</v>
      </c>
      <c r="O122" s="5">
        <f>Planets[[#This Row],[a]]*(1-Planets[[#This Row],[e]])</f>
        <v>1112800000</v>
      </c>
      <c r="P122" s="5" t="s">
        <v>95</v>
      </c>
    </row>
    <row r="123" spans="1:16" x14ac:dyDescent="0.25">
      <c r="A123" t="s">
        <v>445</v>
      </c>
      <c r="B123">
        <v>320</v>
      </c>
      <c r="C123">
        <f>Planets[[#This Row],[Radius]]*Planets[[#This Row],[Radius]]*Planets[[#This Row],[Gravity]]*0.00980665</f>
        <v>60.252057600000001</v>
      </c>
      <c r="D123" s="5">
        <v>0.06</v>
      </c>
      <c r="E123">
        <v>232809.99738773931</v>
      </c>
      <c r="F123">
        <v>2616</v>
      </c>
      <c r="G123">
        <v>35</v>
      </c>
      <c r="H123">
        <v>0.01</v>
      </c>
      <c r="I123" t="s">
        <v>415</v>
      </c>
      <c r="K123" s="32">
        <v>0.5</v>
      </c>
      <c r="L123" s="32">
        <v>0.01</v>
      </c>
      <c r="M123" s="33">
        <v>55880</v>
      </c>
      <c r="N123" s="5">
        <f>Planets[[#This Row],[a]]*(1+Planets[[#This Row],[e]])</f>
        <v>56438.8</v>
      </c>
      <c r="O123" s="5">
        <f>Planets[[#This Row],[a]]*(1-Planets[[#This Row],[e]])</f>
        <v>55321.2</v>
      </c>
      <c r="P123" s="5" t="s">
        <v>444</v>
      </c>
    </row>
    <row r="124" spans="1:16" x14ac:dyDescent="0.25">
      <c r="A124" t="s">
        <v>446</v>
      </c>
      <c r="B124">
        <v>700</v>
      </c>
      <c r="C124">
        <f>Planets[[#This Row],[Radius]]*Planets[[#This Row],[Radius]]*Planets[[#This Row],[Gravity]]*0.00980665</f>
        <v>720.78877499999999</v>
      </c>
      <c r="D124" s="5">
        <v>0.15</v>
      </c>
      <c r="E124">
        <v>788078.42084745318</v>
      </c>
      <c r="F124">
        <v>15914</v>
      </c>
      <c r="G124">
        <v>0</v>
      </c>
      <c r="H124">
        <v>0</v>
      </c>
      <c r="I124" t="s">
        <v>415</v>
      </c>
      <c r="K124" s="32">
        <v>0.2</v>
      </c>
      <c r="L124" s="32">
        <v>1.4999999999999999E-2</v>
      </c>
      <c r="M124" s="33">
        <v>125980</v>
      </c>
      <c r="N124" s="5">
        <f>Planets[[#This Row],[a]]*(1+Planets[[#This Row],[e]])</f>
        <v>127869.69999999998</v>
      </c>
      <c r="O124" s="5">
        <f>Planets[[#This Row],[a]]*(1-Planets[[#This Row],[e]])</f>
        <v>124090.3</v>
      </c>
      <c r="P124" s="5" t="s">
        <v>444</v>
      </c>
    </row>
    <row r="125" spans="1:16" x14ac:dyDescent="0.25">
      <c r="A125" t="s">
        <v>447</v>
      </c>
      <c r="B125">
        <v>110</v>
      </c>
      <c r="C125">
        <f>Planets[[#This Row],[Radius]]*Planets[[#This Row],[Radius]]*Planets[[#This Row],[Gravity]]*0.00980665</f>
        <v>2.3732093000000001</v>
      </c>
      <c r="D125" s="5">
        <v>0.02</v>
      </c>
      <c r="E125">
        <v>21600</v>
      </c>
      <c r="F125">
        <v>9653</v>
      </c>
      <c r="G125">
        <v>0</v>
      </c>
      <c r="H125">
        <v>0</v>
      </c>
      <c r="I125" t="s">
        <v>415</v>
      </c>
      <c r="K125" s="32">
        <v>17</v>
      </c>
      <c r="L125" s="32">
        <v>0.4</v>
      </c>
      <c r="M125" s="33">
        <v>751900</v>
      </c>
      <c r="N125" s="5">
        <f>Planets[[#This Row],[a]]*(1+Planets[[#This Row],[e]])</f>
        <v>1052660</v>
      </c>
      <c r="O125" s="5">
        <f>Planets[[#This Row],[a]]*(1-Planets[[#This Row],[e]])</f>
        <v>451140</v>
      </c>
      <c r="P125" s="5" t="s">
        <v>444</v>
      </c>
    </row>
    <row r="126" spans="1:16" x14ac:dyDescent="0.25">
      <c r="C126" s="3"/>
      <c r="D126" s="5"/>
      <c r="M126" s="2"/>
      <c r="N126" s="2"/>
      <c r="O126" s="2"/>
      <c r="P126"/>
    </row>
    <row r="127" spans="1:16" x14ac:dyDescent="0.25">
      <c r="C127" s="3"/>
      <c r="D127" s="5"/>
      <c r="M127" s="2"/>
      <c r="N127" s="2"/>
      <c r="O127" s="2"/>
      <c r="P127"/>
    </row>
    <row r="128" spans="1:16" x14ac:dyDescent="0.25">
      <c r="C128" s="3"/>
      <c r="D128" s="5"/>
      <c r="M128" s="2"/>
      <c r="N128" s="2"/>
      <c r="O128" s="2"/>
      <c r="P128"/>
    </row>
    <row r="129" spans="1:26" x14ac:dyDescent="0.25">
      <c r="R129" s="92" t="s">
        <v>347</v>
      </c>
      <c r="S129" s="92"/>
      <c r="U129" s="91" t="s">
        <v>271</v>
      </c>
      <c r="V129" s="91"/>
      <c r="W129" s="91"/>
      <c r="X129" s="91"/>
      <c r="Y129" s="91"/>
      <c r="Z129" s="91"/>
    </row>
    <row r="130" spans="1:26" s="6" customFormat="1" x14ac:dyDescent="0.25">
      <c r="A130" s="6">
        <v>3</v>
      </c>
      <c r="B130" s="6" t="s">
        <v>119</v>
      </c>
      <c r="C130" s="6" t="s">
        <v>118</v>
      </c>
      <c r="D130" s="6" t="s">
        <v>117</v>
      </c>
      <c r="E130" s="6" t="s">
        <v>115</v>
      </c>
      <c r="F130" s="6" t="s">
        <v>116</v>
      </c>
      <c r="G130" s="6" t="s">
        <v>125</v>
      </c>
      <c r="H130" s="6" t="s">
        <v>199</v>
      </c>
      <c r="I130" s="6" t="s">
        <v>121</v>
      </c>
      <c r="J130" s="6" t="s">
        <v>122</v>
      </c>
      <c r="K130" s="6" t="s">
        <v>123</v>
      </c>
      <c r="L130" s="6" t="s">
        <v>124</v>
      </c>
      <c r="M130" s="63" t="s">
        <v>252</v>
      </c>
      <c r="N130" s="63" t="s">
        <v>251</v>
      </c>
      <c r="O130" s="63" t="s">
        <v>254</v>
      </c>
      <c r="P130" s="63" t="s">
        <v>253</v>
      </c>
      <c r="Q130" s="63" t="s">
        <v>270</v>
      </c>
      <c r="R130" s="63" t="s">
        <v>345</v>
      </c>
      <c r="S130" s="63" t="s">
        <v>346</v>
      </c>
      <c r="T130" s="63"/>
      <c r="U130" s="63" t="s">
        <v>259</v>
      </c>
      <c r="V130" s="63" t="s">
        <v>265</v>
      </c>
      <c r="W130" s="6" t="s">
        <v>269</v>
      </c>
      <c r="X130" s="6" t="s">
        <v>266</v>
      </c>
      <c r="Y130" s="6" t="s">
        <v>268</v>
      </c>
      <c r="Z130" s="6" t="s">
        <v>267</v>
      </c>
    </row>
    <row r="131" spans="1:26" hidden="1" x14ac:dyDescent="0.25">
      <c r="A131" s="26" t="s">
        <v>110</v>
      </c>
      <c r="B131">
        <f>VLOOKUP(A131,Planets[],COLUMN(Planets[Radius]),FALSE)</f>
        <v>600</v>
      </c>
      <c r="C131" s="26">
        <v>3619.529</v>
      </c>
      <c r="D131" s="35">
        <v>60</v>
      </c>
      <c r="E131" s="8">
        <f>SQRT(2*VLOOKUP(A131,Planets[],COLUMN(Planets[GM, km3/s2]),FALSE)*(((D131+B131)/(C131+B131))/(C131+D131+2*B131)))</f>
        <v>0.42559525117757785</v>
      </c>
      <c r="F131" s="8">
        <f>SQRT(2*VLOOKUP(A131,Planets[],COLUMN(Planets[GM, km3/s2]),FALSE)*(((C131+B131)/(D131+B131))/(C131+D131+2*B131)))</f>
        <v>2.7209265221304153</v>
      </c>
      <c r="G131" s="3">
        <f>2*PI()*SQRT(POWER((C131+D131)/2+B131,3)/VLOOKUP(A131,Planets[],COLUMN(Planets[GM, km3/s2]),FALSE))</f>
        <v>14245.279752815139</v>
      </c>
      <c r="H131" s="2">
        <f>INT(G131/9201600)</f>
        <v>0</v>
      </c>
      <c r="I131">
        <f t="shared" ref="I131:I147" si="0">INT(G131/21600)</f>
        <v>0</v>
      </c>
      <c r="J131">
        <f t="shared" ref="J131:J147" si="1">INT((G131-I131*21600)/3600)</f>
        <v>3</v>
      </c>
      <c r="K131">
        <f t="shared" ref="K131:K147" si="2">INT((G131-I131*21600-J131*3600)/60)</f>
        <v>57</v>
      </c>
      <c r="L131" s="4">
        <f t="shared" ref="L131:L145" si="3">MOD(G131,60)</f>
        <v>25.279752815138636</v>
      </c>
      <c r="M131" s="3">
        <f>90-ASIN(B131/(B131+C131))*180/PI()</f>
        <v>81.825062706625175</v>
      </c>
      <c r="N131" s="3">
        <f>ACOS(B131/(B131+C131)/COS(PI()/A$130))*180/PI()</f>
        <v>73.477495187633423</v>
      </c>
      <c r="O131" s="5">
        <f>SQRT(2*B131*C131+C131*C131)</f>
        <v>4176.6523654526236</v>
      </c>
      <c r="P131" s="5">
        <f>2*(B131+C131)*SIN(PI()/A$130)</f>
        <v>7308.4386120102972</v>
      </c>
      <c r="Q131" s="4">
        <f>B131/COS(ASIN(B131/(B131+C131)))-B131</f>
        <v>6.1594737788615248</v>
      </c>
      <c r="R131" s="4">
        <f>2*(B131+C131)*ASIN(B131/(B131+C131))/E131</f>
        <v>2829.1696851911056</v>
      </c>
      <c r="S131" s="4">
        <f>2*(B131+D131)*ASIN(B131/(B131+D131))/F131</f>
        <v>553.57892975001391</v>
      </c>
      <c r="T131" s="4"/>
      <c r="U131" s="35" t="s">
        <v>264</v>
      </c>
      <c r="V131">
        <f>VLOOKUP(U131,ScanSat[],COLUMN(ScanSat[FoV]),FALSE)*MIN(1,C131/VLOOKUP(U131,ScanSat[],COLUMN(ScanSat[H opt]),FALSE))*MAX(1,SQRT(600/B131))*2</f>
        <v>8</v>
      </c>
      <c r="W131">
        <f>(VLOOKUP(A131,Planets[],COLUMN(Planets[Rotation]),FALSE)*(360-V131)/360)/G131</f>
        <v>14.546354226029386</v>
      </c>
      <c r="X131">
        <f>360*G131/VLOOKUP(A131,Planets[],COLUMN(Planets[Rotation]),FALSE)/V131</f>
        <v>3.0248129061277762</v>
      </c>
      <c r="Y131">
        <f>G131*W131*CEILING(X131,1)/21600</f>
        <v>38.37349728395062</v>
      </c>
      <c r="Z131" s="3">
        <f>90-V131/2</f>
        <v>86</v>
      </c>
    </row>
    <row r="132" spans="1:26" hidden="1" x14ac:dyDescent="0.25">
      <c r="A132" s="26" t="s">
        <v>101</v>
      </c>
      <c r="B132">
        <f>VLOOKUP(A132,Planets[],COLUMN(Planets[Radius]),FALSE)</f>
        <v>600</v>
      </c>
      <c r="C132" s="35">
        <v>776.57500000000005</v>
      </c>
      <c r="D132" s="35">
        <v>124.47112470563397</v>
      </c>
      <c r="E132" s="8">
        <f>SQRT(2*VLOOKUP(A132,Planets[],COLUMN(Planets[GM, km3/s2]),FALSE)*(((D132+B132)/(C132+B132))/(C132+D132+2*B132)))</f>
        <v>1.3301283799227774</v>
      </c>
      <c r="F132" s="8">
        <f>SQRT(2*VLOOKUP(A132,Planets[],COLUMN(Planets[GM, km3/s2]),FALSE)*(((C132+B132)/(D132+B132))/(C132+D132+2*B132)))</f>
        <v>2.5273905503634468</v>
      </c>
      <c r="G132" s="5">
        <f>2*PI()*SQRT(POWER((C132+D132)/2+B132,3)/VLOOKUP(A132,Planets[],COLUMN(Planets[GM, km3/s2]),FALSE))</f>
        <v>3600.0000001967287</v>
      </c>
      <c r="H132" s="2">
        <f>INT(G132/9201600)</f>
        <v>0</v>
      </c>
      <c r="I132">
        <f t="shared" si="0"/>
        <v>0</v>
      </c>
      <c r="J132">
        <f t="shared" si="1"/>
        <v>1</v>
      </c>
      <c r="K132">
        <f t="shared" si="2"/>
        <v>0</v>
      </c>
      <c r="L132" s="4">
        <f t="shared" si="3"/>
        <v>1.9672870621434413E-7</v>
      </c>
      <c r="M132" s="3">
        <f>90-ASIN(B132/(B132+C132))*180/PI()</f>
        <v>64.159691931430288</v>
      </c>
      <c r="N132" s="3">
        <f>ACOS(B132/(B132+C132)/COS(PI()/A$130))*180/PI()</f>
        <v>29.339843248043532</v>
      </c>
      <c r="O132" s="5">
        <f>SQRT(2*B132*C132+C132*C132)</f>
        <v>1238.9345142601364</v>
      </c>
      <c r="P132" s="5">
        <f>2*(B132+C132)*SIN(PI()/A$130)</f>
        <v>2384.2978404291271</v>
      </c>
      <c r="Q132" s="4">
        <f>B132/COS(ASIN(B132/(B132+C132)))-B132</f>
        <v>66.657511348156845</v>
      </c>
      <c r="R132" s="4">
        <f t="shared" ref="R132:R134" si="4">2*(B132+C132)*ASIN(B132/(B132+C132))/E132</f>
        <v>933.49365111963027</v>
      </c>
      <c r="S132" s="4">
        <f t="shared" ref="S132:S134" si="5">2*(B132+D132)*ASIN(B132/(B132+D132))/F132</f>
        <v>559.46269877819782</v>
      </c>
      <c r="T132" s="4"/>
    </row>
    <row r="133" spans="1:26" hidden="1" x14ac:dyDescent="0.25">
      <c r="A133" s="26" t="s">
        <v>101</v>
      </c>
      <c r="B133">
        <f>VLOOKUP(A133,Planets[],COLUMN(Planets[Radius]),FALSE)</f>
        <v>600</v>
      </c>
      <c r="C133" s="26">
        <v>2863.3339999999998</v>
      </c>
      <c r="D133" s="35">
        <v>1222.7030088602421</v>
      </c>
      <c r="E133" s="8">
        <f>SQRT(2*VLOOKUP(A133,Planets[],COLUMN(Planets[GM, km3/s2]),FALSE)*(((D133+B133)/(C133+B133))/(C133+D133+2*B133)))</f>
        <v>0.83858370520571412</v>
      </c>
      <c r="F133" s="8">
        <f>SQRT(2*VLOOKUP(A133,Planets[],COLUMN(Planets[GM, km3/s2]),FALSE)*(((C133+B133)/(D133+B133))/(C133+D133+2*B133)))</f>
        <v>1.5934002654118717</v>
      </c>
      <c r="G133" s="5">
        <f>2*PI()*SQRT(POWER((C133+D133)/2+B133,3)/VLOOKUP(A133,Planets[],COLUMN(Planets[GM, km3/s2]),FALSE))</f>
        <v>14366.283085929244</v>
      </c>
      <c r="H133" s="2">
        <f>INT(G133/9201600)</f>
        <v>0</v>
      </c>
      <c r="I133">
        <f>INT(G133/21600)</f>
        <v>0</v>
      </c>
      <c r="J133">
        <f>INT((G133-I133*21600)/3600)</f>
        <v>3</v>
      </c>
      <c r="K133">
        <f>INT((G133-I133*21600-J133*3600)/60)</f>
        <v>59</v>
      </c>
      <c r="L133" s="5">
        <f>MOD(G133,60)</f>
        <v>26.283085929244407</v>
      </c>
      <c r="M133" s="3">
        <f>90-ASIN(B133/(B133+C133))*180/PI()</f>
        <v>80.023544900612819</v>
      </c>
      <c r="N133" s="3">
        <f>ACOS(B133/(B133+C133)/COS(PI()/A$130))*180/PI()</f>
        <v>69.727409432496245</v>
      </c>
      <c r="O133" s="5">
        <f>SQRT(2*B133*C133+C133*C133)</f>
        <v>3410.9650240886376</v>
      </c>
      <c r="P133" s="5">
        <f>2*(B133+C133)*SIN(PI()/A$130)</f>
        <v>5998.6704515807496</v>
      </c>
      <c r="Q133" s="4">
        <f>B133/COS(ASIN(B133/(B133+C133)))-B133</f>
        <v>9.211875620217711</v>
      </c>
      <c r="R133" s="4">
        <f t="shared" si="4"/>
        <v>1438.2406943224819</v>
      </c>
      <c r="S133" s="4">
        <f t="shared" si="5"/>
        <v>767.4170238067893</v>
      </c>
      <c r="T133" s="4"/>
    </row>
    <row r="134" spans="1:26" hidden="1" x14ac:dyDescent="0.25">
      <c r="A134" s="26" t="s">
        <v>101</v>
      </c>
      <c r="B134">
        <f>VLOOKUP(A134,Planets[],COLUMN(Planets[Radius]),FALSE)</f>
        <v>600</v>
      </c>
      <c r="C134" s="26">
        <v>2863.3339999999998</v>
      </c>
      <c r="D134" s="26">
        <v>2863.3339999999998</v>
      </c>
      <c r="E134" s="8">
        <f>SQRT(2*VLOOKUP(A134,Planets[],COLUMN(Planets[GM, km3/s2]),FALSE)*(((D134+B134)/(C134+B134))/(C134+D134+2*B134)))</f>
        <v>1.0098074393371737</v>
      </c>
      <c r="F134" s="8">
        <f>SQRT(2*VLOOKUP(A134,Planets[],COLUMN(Planets[GM, km3/s2]),FALSE)*(((C134+B134)/(D134+B134))/(C134+D134+2*B134)))</f>
        <v>1.0098074393371737</v>
      </c>
      <c r="G134" s="5">
        <f>2*PI()*SQRT(POWER((C134+D134)/2+B134,3)/VLOOKUP(A134,Planets[],COLUMN(Planets[GM, km3/s2]),FALSE))</f>
        <v>21549.424627866705</v>
      </c>
      <c r="H134" s="2">
        <f>INT(G134/9201600)</f>
        <v>0</v>
      </c>
      <c r="I134">
        <f>INT(G134/21600)</f>
        <v>0</v>
      </c>
      <c r="J134">
        <f>INT((G134-I134*21600)/3600)</f>
        <v>5</v>
      </c>
      <c r="K134">
        <f>INT((G134-I134*21600-J134*3600)/60)</f>
        <v>59</v>
      </c>
      <c r="L134" s="5">
        <f>MOD(G134,60)</f>
        <v>9.4246278667051229</v>
      </c>
      <c r="M134" s="3">
        <f>90-ASIN(B134/(B134+C134))*180/PI()</f>
        <v>80.023544900612819</v>
      </c>
      <c r="N134" s="3">
        <f>ACOS(B134/(B134+C134)/COS(PI()/A$130))*180/PI()</f>
        <v>69.727409432496245</v>
      </c>
      <c r="O134" s="5">
        <f>SQRT(2*B134*C134+C134*C134)</f>
        <v>3410.9650240886376</v>
      </c>
      <c r="P134" s="5">
        <f>2*(B134+C134)*SIN(PI()/A$130)</f>
        <v>5998.6704515807496</v>
      </c>
      <c r="Q134" s="4">
        <f>B134/COS(ASIN(B134/(B134+C134)))-B134</f>
        <v>9.211875620217711</v>
      </c>
      <c r="R134" s="4">
        <f t="shared" si="4"/>
        <v>1194.371484541891</v>
      </c>
      <c r="S134" s="4">
        <f t="shared" si="5"/>
        <v>1194.371484541891</v>
      </c>
      <c r="T134" s="4"/>
    </row>
    <row r="135" spans="1:26" hidden="1" x14ac:dyDescent="0.25">
      <c r="A135" s="26" t="s">
        <v>110</v>
      </c>
      <c r="B135">
        <f>VLOOKUP(A135,Planets[],COLUMN(Planets[Radius]),FALSE)</f>
        <v>600</v>
      </c>
      <c r="C135" s="26">
        <v>1428.538</v>
      </c>
      <c r="D135" s="26">
        <f>C135</f>
        <v>1428.538</v>
      </c>
      <c r="E135" s="8">
        <f>SQRT(2*VLOOKUP(A135,Planets[],COLUMN(Planets[GM, km3/s2]),FALSE)*(((D135+B135)/(C135+B135))/(C135+D135+2*B135)))</f>
        <v>1.1801553343506532</v>
      </c>
      <c r="F135" s="8">
        <f>SQRT(2*VLOOKUP(A135,Planets[],COLUMN(Planets[GM, km3/s2]),FALSE)*(((C135+B135)/(D135+B135))/(C135+D135+2*B135)))</f>
        <v>1.1801553343506532</v>
      </c>
      <c r="G135" s="3">
        <f>2*PI()*SQRT(POWER((C135+D135)/2+B135,3)/VLOOKUP(A135,Planets[],COLUMN(Planets[GM, km3/s2]),FALSE))</f>
        <v>10800.002157062156</v>
      </c>
      <c r="H135" s="2">
        <f t="shared" ref="H135:H147" si="6">INT(G135/9201600)</f>
        <v>0</v>
      </c>
      <c r="I135">
        <f t="shared" si="0"/>
        <v>0</v>
      </c>
      <c r="J135">
        <f t="shared" si="1"/>
        <v>3</v>
      </c>
      <c r="K135">
        <f t="shared" si="2"/>
        <v>0</v>
      </c>
      <c r="L135" s="4">
        <f t="shared" si="3"/>
        <v>2.1570621556747938E-3</v>
      </c>
      <c r="M135" s="3">
        <f t="shared" ref="M135:M147" si="7">90-ASIN(B135/(B135+C135))*180/PI()</f>
        <v>72.795713198319504</v>
      </c>
      <c r="N135" s="3">
        <f t="shared" ref="N135:N147" si="8">ACOS(B135/(B135+C135)/COS(PI()/A$130))*180/PI()</f>
        <v>53.732279082704125</v>
      </c>
      <c r="O135" s="5">
        <f t="shared" ref="O135:O147" si="9">SQRT(2*B135*C135+C135*C135)</f>
        <v>1937.77357228444</v>
      </c>
      <c r="P135" s="5">
        <f t="shared" ref="P135:P147" si="10">2*(B135+C135)*SIN(PI()/A$130)</f>
        <v>3513.5308810841552</v>
      </c>
      <c r="Q135" s="4">
        <f t="shared" ref="Q135:Q147" si="11">B135/COS(ASIN(B135/(B135+C135)))-B135</f>
        <v>28.103725537517107</v>
      </c>
      <c r="R135" s="4">
        <f t="shared" ref="R135:R148" si="12">2*(B135+C135)*ASIN(B135/(B135+C135))/E135</f>
        <v>1032.2574142714741</v>
      </c>
      <c r="S135" s="4">
        <f t="shared" ref="S135:S148" si="13">2*(B135+D135)*ASIN(B135/(B135+D135))/F135</f>
        <v>1032.2574142714741</v>
      </c>
      <c r="T135" s="8"/>
    </row>
    <row r="136" spans="1:26" hidden="1" x14ac:dyDescent="0.25">
      <c r="A136" s="26" t="s">
        <v>107</v>
      </c>
      <c r="B136">
        <f>VLOOKUP(A136,Planets[],COLUMN(Planets[Radius]),FALSE)</f>
        <v>6000</v>
      </c>
      <c r="C136" s="26">
        <v>341281.598</v>
      </c>
      <c r="D136" s="26">
        <v>220067.6864196356</v>
      </c>
      <c r="E136" s="8">
        <f>SQRT(2*VLOOKUP(A136,Planets[],COLUMN(Planets[GM, km3/s2]),FALSE)*(((D136+B136)/(C136+B136))/(C136+D136+2*B136)))</f>
        <v>0.80096671197315372</v>
      </c>
      <c r="F136" s="8">
        <f>SQRT(2*VLOOKUP(A136,Planets[],COLUMN(Planets[GM, km3/s2]),FALSE)*(((C136+B136)/(D136+B136))/(C136+D136+2*B136)))</f>
        <v>1.2304323721989587</v>
      </c>
      <c r="G136" s="3">
        <f>2*PI()*SQRT(POWER((C136+D136)/2+B136,3)/VLOOKUP(A136,Planets[],COLUMN(Planets[GM, km3/s2]),FALSE))</f>
        <v>1814400.0096130571</v>
      </c>
      <c r="H136" s="2">
        <f t="shared" si="6"/>
        <v>0</v>
      </c>
      <c r="I136">
        <f t="shared" si="0"/>
        <v>84</v>
      </c>
      <c r="J136">
        <f t="shared" si="1"/>
        <v>0</v>
      </c>
      <c r="K136">
        <f t="shared" si="2"/>
        <v>0</v>
      </c>
      <c r="L136" s="4">
        <f t="shared" si="3"/>
        <v>9.6130571328103542E-3</v>
      </c>
      <c r="M136" s="3">
        <f t="shared" si="7"/>
        <v>89.010048951817453</v>
      </c>
      <c r="N136" s="3">
        <f t="shared" si="8"/>
        <v>88.019802223008853</v>
      </c>
      <c r="O136" s="5">
        <f t="shared" si="9"/>
        <v>347229.76299481245</v>
      </c>
      <c r="P136" s="5">
        <f t="shared" si="10"/>
        <v>601509.37226971018</v>
      </c>
      <c r="Q136" s="4">
        <f t="shared" si="11"/>
        <v>0.89568943757330999</v>
      </c>
      <c r="R136" s="4">
        <f t="shared" si="12"/>
        <v>14982.641467395853</v>
      </c>
      <c r="S136" s="4">
        <f t="shared" si="13"/>
        <v>9753.8146248062076</v>
      </c>
    </row>
    <row r="137" spans="1:26" hidden="1" x14ac:dyDescent="0.25">
      <c r="A137" s="26" t="s">
        <v>107</v>
      </c>
      <c r="B137">
        <f>VLOOKUP(A137,Planets[],COLUMN(Planets[Radius]),FALSE)</f>
        <v>6000</v>
      </c>
      <c r="C137" s="26">
        <v>341281.598</v>
      </c>
      <c r="D137" s="26">
        <f>C137</f>
        <v>341281.598</v>
      </c>
      <c r="E137" s="8">
        <f>SQRT(2*VLOOKUP(A137,Planets[],COLUMN(Planets[GM, km3/s2]),FALSE)*(((D137+B137)/(C137+B137))/(C137+D137+2*B137)))</f>
        <v>0.90196536661742521</v>
      </c>
      <c r="F137" s="8">
        <f>SQRT(2*VLOOKUP(A137,Planets[],COLUMN(Planets[GM, km3/s2]),FALSE)*(((C137+B137)/(D137+B137))/(C137+D137+2*B137)))</f>
        <v>0.90196536661742521</v>
      </c>
      <c r="G137" s="3">
        <f>2*PI()*SQRT(POWER((C137+D137)/2+B137,3)/VLOOKUP(A137,Planets[],COLUMN(Planets[GM, km3/s2]),FALSE))</f>
        <v>2419200.0211610924</v>
      </c>
      <c r="H137" s="2">
        <f t="shared" si="6"/>
        <v>0</v>
      </c>
      <c r="I137">
        <f t="shared" si="0"/>
        <v>112</v>
      </c>
      <c r="J137">
        <f t="shared" si="1"/>
        <v>0</v>
      </c>
      <c r="K137">
        <f t="shared" si="2"/>
        <v>0</v>
      </c>
      <c r="L137" s="4">
        <f t="shared" si="3"/>
        <v>2.1161092445254326E-2</v>
      </c>
      <c r="M137" s="3">
        <f t="shared" si="7"/>
        <v>89.010048951817453</v>
      </c>
      <c r="N137" s="3">
        <f t="shared" si="8"/>
        <v>88.019802223008853</v>
      </c>
      <c r="O137" s="5">
        <f t="shared" si="9"/>
        <v>347229.76299481245</v>
      </c>
      <c r="P137" s="5">
        <f t="shared" si="10"/>
        <v>601509.37226971018</v>
      </c>
      <c r="Q137" s="4">
        <f t="shared" si="11"/>
        <v>0.89568943757330999</v>
      </c>
      <c r="R137" s="4">
        <f t="shared" si="12"/>
        <v>13304.942203953624</v>
      </c>
      <c r="S137" s="4">
        <f t="shared" si="13"/>
        <v>13304.942203953624</v>
      </c>
    </row>
    <row r="138" spans="1:26" hidden="1" x14ac:dyDescent="0.25">
      <c r="A138" s="26" t="s">
        <v>105</v>
      </c>
      <c r="B138">
        <f>VLOOKUP(A138,Planets[],COLUMN(Planets[Radius]),FALSE)</f>
        <v>130</v>
      </c>
      <c r="C138" s="26">
        <v>666.20422743143195</v>
      </c>
      <c r="D138" s="26">
        <v>76.9502387521419</v>
      </c>
      <c r="E138" s="8">
        <f>SQRT(2*VLOOKUP(A138,Planets[],COLUMN(Planets[GM, km3/s2]),FALSE)*(((D138+B138)/(C138+B138))/(C138+D138+2*B138)))</f>
        <v>9.8093153770422464E-2</v>
      </c>
      <c r="F138" s="8">
        <f>SQRT(2*VLOOKUP(A138,Planets[],COLUMN(Planets[GM, km3/s2]),FALSE)*(((C138+B138)/(D138+B138))/(C138+D138+2*B138)))</f>
        <v>0.37739595849238189</v>
      </c>
      <c r="G138" s="3">
        <f>2*PI()*SQRT(POWER((C138+D138)/2+B138,3)/VLOOKUP(A138,Planets[],COLUMN(Planets[GM, km3/s2]),FALSE))</f>
        <v>16379.465000895154</v>
      </c>
      <c r="H138" s="2">
        <f t="shared" si="6"/>
        <v>0</v>
      </c>
      <c r="I138">
        <f t="shared" si="0"/>
        <v>0</v>
      </c>
      <c r="J138">
        <f t="shared" si="1"/>
        <v>4</v>
      </c>
      <c r="K138">
        <f t="shared" si="2"/>
        <v>32</v>
      </c>
      <c r="L138" s="4">
        <f t="shared" si="3"/>
        <v>59.465000895153935</v>
      </c>
      <c r="M138" s="3">
        <f t="shared" si="7"/>
        <v>80.602977537936255</v>
      </c>
      <c r="N138" s="3">
        <f t="shared" si="8"/>
        <v>70.940529598336312</v>
      </c>
      <c r="O138" s="5">
        <f t="shared" si="9"/>
        <v>785.51968261761806</v>
      </c>
      <c r="P138" s="5">
        <f t="shared" si="10"/>
        <v>1379.0661751123657</v>
      </c>
      <c r="Q138" s="4">
        <f t="shared" si="11"/>
        <v>1.7682444584548307</v>
      </c>
      <c r="R138" s="4">
        <f t="shared" si="12"/>
        <v>2662.4619489516795</v>
      </c>
      <c r="S138" s="4">
        <f t="shared" si="13"/>
        <v>744.89661944314867</v>
      </c>
    </row>
    <row r="139" spans="1:26" hidden="1" x14ac:dyDescent="0.25">
      <c r="A139" s="26" t="s">
        <v>104</v>
      </c>
      <c r="B139">
        <f>VLOOKUP(A139,Planets[],COLUMN(Planets[Radius]),FALSE)</f>
        <v>320</v>
      </c>
      <c r="C139" s="26">
        <v>2880</v>
      </c>
      <c r="D139" s="26">
        <v>1364.1139848830212</v>
      </c>
      <c r="E139" s="8">
        <f>SQRT(2*VLOOKUP(A139,Planets[],COLUMN(Planets[GM, km3/s2]),FALSE)*(((D139+B139)/(C139+B139))/(C139+D139+2*B139)))</f>
        <v>0.25484608774026291</v>
      </c>
      <c r="F139" s="8">
        <f>SQRT(2*VLOOKUP(A139,Planets[],COLUMN(Planets[GM, km3/s2]),FALSE)*(((C139+B139)/(D139+B139))/(C139+D139+2*B139)))</f>
        <v>0.48423532378984813</v>
      </c>
      <c r="G139" s="3">
        <f>2*PI()*SQRT(POWER((C139+D139)/2+B139,3)/VLOOKUP(A139,Planets[],COLUMN(Planets[GM, km3/s2]),FALSE))</f>
        <v>43678.573334497632</v>
      </c>
      <c r="H139" s="2">
        <f t="shared" si="6"/>
        <v>0</v>
      </c>
      <c r="I139">
        <f t="shared" si="0"/>
        <v>2</v>
      </c>
      <c r="J139">
        <f t="shared" si="1"/>
        <v>0</v>
      </c>
      <c r="K139">
        <f t="shared" si="2"/>
        <v>7</v>
      </c>
      <c r="L139" s="4">
        <f t="shared" si="3"/>
        <v>58.573334497632459</v>
      </c>
      <c r="M139" s="3">
        <f t="shared" si="7"/>
        <v>84.260829522733218</v>
      </c>
      <c r="N139" s="3">
        <f t="shared" si="8"/>
        <v>78.463040967184497</v>
      </c>
      <c r="O139" s="5">
        <f t="shared" si="9"/>
        <v>3183.9597987411839</v>
      </c>
      <c r="P139" s="5">
        <f t="shared" si="10"/>
        <v>5542.5625842204072</v>
      </c>
      <c r="Q139" s="4">
        <f t="shared" si="11"/>
        <v>1.6121008829478569</v>
      </c>
      <c r="R139" s="4">
        <f t="shared" si="12"/>
        <v>2515.5241782144117</v>
      </c>
      <c r="S139" s="4">
        <f t="shared" si="13"/>
        <v>1329.7564707062756</v>
      </c>
    </row>
    <row r="140" spans="1:26" hidden="1" x14ac:dyDescent="0.25">
      <c r="A140" s="26" t="s">
        <v>103</v>
      </c>
      <c r="B140">
        <f>VLOOKUP(A140,Planets[],COLUMN(Planets[Radius]),FALSE)</f>
        <v>60</v>
      </c>
      <c r="C140" s="26">
        <v>300.76461164171963</v>
      </c>
      <c r="D140" s="26">
        <v>129.86524335472802</v>
      </c>
      <c r="E140" s="8">
        <f>SQRT(2*VLOOKUP(A140,Planets[],COLUMN(Planets[GM, km3/s2]),FALSE)*(((D140+B140)/(C140+B140))/(C140+D140+2*B140)))</f>
        <v>5.8098731024915487E-2</v>
      </c>
      <c r="F140" s="8">
        <f>SQRT(2*VLOOKUP(A140,Planets[],COLUMN(Planets[GM, km3/s2]),FALSE)*(((C140+B140)/(D140+B140))/(C140+D140+2*B140)))</f>
        <v>0.11039390761962972</v>
      </c>
      <c r="G140" s="3">
        <f>2*PI()*SQRT(POWER((C140+D140)/2+B140,3)/VLOOKUP(A140,Planets[],COLUMN(Planets[GM, km3/s2]),FALSE))</f>
        <v>21600.000000040218</v>
      </c>
      <c r="H140" s="2">
        <f t="shared" si="6"/>
        <v>0</v>
      </c>
      <c r="I140">
        <f t="shared" si="0"/>
        <v>1</v>
      </c>
      <c r="J140">
        <f t="shared" si="1"/>
        <v>0</v>
      </c>
      <c r="K140">
        <f t="shared" si="2"/>
        <v>0</v>
      </c>
      <c r="L140" s="4">
        <f t="shared" si="3"/>
        <v>4.0217855712398887E-8</v>
      </c>
      <c r="M140" s="3">
        <f t="shared" si="7"/>
        <v>80.426457211783841</v>
      </c>
      <c r="N140" s="3">
        <f t="shared" si="8"/>
        <v>70.571707017936916</v>
      </c>
      <c r="O140" s="5">
        <f t="shared" si="9"/>
        <v>355.74022124719153</v>
      </c>
      <c r="P140" s="5">
        <f t="shared" si="10"/>
        <v>624.86263693631281</v>
      </c>
      <c r="Q140" s="4">
        <f t="shared" si="11"/>
        <v>0.84742574965176942</v>
      </c>
      <c r="R140" s="4">
        <f t="shared" si="12"/>
        <v>2075.0918706879197</v>
      </c>
      <c r="S140" s="4">
        <f t="shared" si="13"/>
        <v>1105.97385291055</v>
      </c>
    </row>
    <row r="141" spans="1:26" hidden="1" x14ac:dyDescent="0.25">
      <c r="A141" s="26" t="s">
        <v>102</v>
      </c>
      <c r="B141">
        <f>VLOOKUP(A141,Planets[],COLUMN(Planets[Radius]),FALSE)</f>
        <v>200</v>
      </c>
      <c r="C141" s="26">
        <v>716.49115858560651</v>
      </c>
      <c r="D141" s="26">
        <f>C141</f>
        <v>716.49115858560651</v>
      </c>
      <c r="E141" s="8">
        <f>SQRT(2*VLOOKUP(A141,Planets[],COLUMN(Planets[GM, km3/s2]),FALSE)*(((D141+B141)/(C141+B141))/(C141+D141+2*B141)))</f>
        <v>0.26659647137732267</v>
      </c>
      <c r="F141" s="8">
        <f>SQRT(2*VLOOKUP(A141,Planets[],COLUMN(Planets[GM, km3/s2]),FALSE)*(((C141+B141)/(D141+B141))/(C141+D141+2*B141)))</f>
        <v>0.26659647137732267</v>
      </c>
      <c r="G141" s="3">
        <f>2*PI()*SQRT(POWER((C141+D141)/2+B141,3)/VLOOKUP(A141,Planets[],COLUMN(Planets[GM, km3/s2]),FALSE))</f>
        <v>21600.000000130942</v>
      </c>
      <c r="H141" s="2">
        <f t="shared" si="6"/>
        <v>0</v>
      </c>
      <c r="I141">
        <f t="shared" si="0"/>
        <v>1</v>
      </c>
      <c r="J141">
        <f t="shared" si="1"/>
        <v>0</v>
      </c>
      <c r="K141">
        <f t="shared" si="2"/>
        <v>0</v>
      </c>
      <c r="L141" s="4">
        <f t="shared" si="3"/>
        <v>1.3094177120365202E-7</v>
      </c>
      <c r="M141" s="3">
        <f t="shared" si="7"/>
        <v>77.395282126803551</v>
      </c>
      <c r="N141" s="3">
        <f t="shared" si="8"/>
        <v>64.122582732678808</v>
      </c>
      <c r="O141" s="5">
        <f t="shared" si="9"/>
        <v>894.40261838032836</v>
      </c>
      <c r="P141" s="5">
        <f t="shared" si="10"/>
        <v>1587.4092513579355</v>
      </c>
      <c r="Q141" s="4">
        <f t="shared" si="11"/>
        <v>4.939283439325834</v>
      </c>
      <c r="R141" s="4">
        <f t="shared" si="12"/>
        <v>1512.5661447927425</v>
      </c>
      <c r="S141" s="4">
        <f t="shared" si="13"/>
        <v>1512.5661447927425</v>
      </c>
    </row>
    <row r="142" spans="1:26" hidden="1" x14ac:dyDescent="0.25">
      <c r="A142" s="26" t="s">
        <v>95</v>
      </c>
      <c r="B142">
        <f>VLOOKUP(A142,Planets[],COLUMN(Planets[Radius]),FALSE)</f>
        <v>261600</v>
      </c>
      <c r="C142" s="35">
        <v>13338240.255999999</v>
      </c>
      <c r="D142" s="26">
        <f>C142</f>
        <v>13338240.255999999</v>
      </c>
      <c r="E142" s="8">
        <f>SQRT(2*VLOOKUP(A142,Planets[],COLUMN(Planets[GM, km3/s2]),FALSE)*(((D142+B142)/(C142+B142))/(C142+D142+2*B142)))</f>
        <v>9.2845007240280442</v>
      </c>
      <c r="F142" s="8">
        <f>SQRT(2*VLOOKUP(A142,Planets[],COLUMN(Planets[GM, km3/s2]),FALSE)*(((C142+B142)/(D142+B142))/(C142+D142+2*B142)))</f>
        <v>9.2845007240280442</v>
      </c>
      <c r="G142" s="5">
        <f>2*PI()*SQRT(POWER((C142+D142)/2+B142,3)/VLOOKUP(A142,Planets[],COLUMN(Planets[GM, km3/s2]),FALSE))</f>
        <v>9203544.5972173251</v>
      </c>
      <c r="H142" s="2">
        <f t="shared" si="6"/>
        <v>1</v>
      </c>
      <c r="I142">
        <f t="shared" si="0"/>
        <v>426</v>
      </c>
      <c r="J142">
        <f t="shared" si="1"/>
        <v>0</v>
      </c>
      <c r="K142">
        <f t="shared" si="2"/>
        <v>32</v>
      </c>
      <c r="L142" s="4">
        <f t="shared" si="3"/>
        <v>24.597217325121164</v>
      </c>
      <c r="M142" s="3">
        <f t="shared" si="7"/>
        <v>88.897817908079659</v>
      </c>
      <c r="N142" s="3">
        <f t="shared" si="8"/>
        <v>87.795227688367731</v>
      </c>
      <c r="O142" s="5">
        <f t="shared" si="9"/>
        <v>13597324.017199786</v>
      </c>
      <c r="P142" s="5">
        <f t="shared" si="10"/>
        <v>23555614.298212525</v>
      </c>
      <c r="Q142" s="4">
        <f t="shared" si="11"/>
        <v>48.410118733881973</v>
      </c>
      <c r="R142" s="4">
        <f t="shared" si="12"/>
        <v>56355.455762461686</v>
      </c>
      <c r="S142" s="4">
        <f t="shared" si="13"/>
        <v>56355.455762461686</v>
      </c>
    </row>
    <row r="143" spans="1:26" hidden="1" x14ac:dyDescent="0.25">
      <c r="A143" s="26" t="s">
        <v>95</v>
      </c>
      <c r="B143">
        <f>VLOOKUP(A143,Planets[],COLUMN(Planets[Radius]),FALSE)</f>
        <v>261600</v>
      </c>
      <c r="C143" s="35">
        <v>19088626.128021561</v>
      </c>
      <c r="D143" s="26">
        <v>13338240.255999999</v>
      </c>
      <c r="E143" s="8">
        <f>SQRT(2*VLOOKUP(A143,Planets[],COLUMN(Planets[GM, km3/s2]),FALSE)*(((D143+B143)/(C143+B143))/(C143+D143+2*B143)))</f>
        <v>7.0719012907958989</v>
      </c>
      <c r="F143" s="8">
        <f>SQRT(2*VLOOKUP(A143,Planets[],COLUMN(Planets[GM, km3/s2]),FALSE)*(((C143+B143)/(D143+B143))/(C143+D143+2*B143)))</f>
        <v>10.06209533024299</v>
      </c>
      <c r="G143" s="3">
        <f>2*PI()*SQRT(POWER((C143+D143)/2+B143,3)/VLOOKUP(A143,Planets[],COLUMN(Planets[GM, km3/s2]),FALSE))</f>
        <v>12271392.79600006</v>
      </c>
      <c r="H143" s="2">
        <f t="shared" si="6"/>
        <v>1</v>
      </c>
      <c r="I143">
        <f t="shared" si="0"/>
        <v>568</v>
      </c>
      <c r="J143">
        <f t="shared" si="1"/>
        <v>0</v>
      </c>
      <c r="K143">
        <f t="shared" si="2"/>
        <v>43</v>
      </c>
      <c r="L143" s="4">
        <f t="shared" si="3"/>
        <v>12.796000059694052</v>
      </c>
      <c r="M143" s="3">
        <f t="shared" si="7"/>
        <v>89.225382048022908</v>
      </c>
      <c r="N143" s="3">
        <f t="shared" si="8"/>
        <v>88.450622465686166</v>
      </c>
      <c r="O143" s="5">
        <f t="shared" si="9"/>
        <v>19348457.732996918</v>
      </c>
      <c r="P143" s="5">
        <f t="shared" si="10"/>
        <v>33515574.791680131</v>
      </c>
      <c r="Q143" s="4">
        <f t="shared" si="11"/>
        <v>23.909509730961872</v>
      </c>
      <c r="R143" s="4">
        <f t="shared" si="12"/>
        <v>73985.186908655742</v>
      </c>
      <c r="S143" s="4">
        <f t="shared" si="13"/>
        <v>52000.329221376043</v>
      </c>
    </row>
    <row r="144" spans="1:26" hidden="1" x14ac:dyDescent="0.25">
      <c r="A144" s="26" t="s">
        <v>98</v>
      </c>
      <c r="B144">
        <f>VLOOKUP(A144,Planets[],COLUMN(Planets[Radius]),FALSE)</f>
        <v>13</v>
      </c>
      <c r="C144" s="26">
        <v>112.60524940983689</v>
      </c>
      <c r="D144" s="26">
        <v>19.647453729021958</v>
      </c>
      <c r="E144" s="8">
        <f>SQRT(2*VLOOKUP(A144,Planets[],COLUMN(Planets[GM, km3/s2]),FALSE)*(((D144+B144)/(C144+B144))/(C144+D144+2*B144)))</f>
        <v>5.2182279262002968E-3</v>
      </c>
      <c r="F144" s="8">
        <f>SQRT(2*VLOOKUP(A144,Planets[],COLUMN(Planets[GM, km3/s2]),FALSE)*(((C144+B144)/(D144+B144))/(C144+D144+2*B144)))</f>
        <v>2.0076200293841402E-2</v>
      </c>
      <c r="G144" s="3">
        <f>2*PI()*SQRT(POWER((C144+D144)/2+B144,3)/VLOOKUP(A144,Planets[],COLUMN(Planets[GM, km3/s2]),FALSE))</f>
        <v>48573.425000060277</v>
      </c>
      <c r="H144" s="2">
        <f t="shared" si="6"/>
        <v>0</v>
      </c>
      <c r="I144">
        <f t="shared" si="0"/>
        <v>2</v>
      </c>
      <c r="J144">
        <f t="shared" si="1"/>
        <v>1</v>
      </c>
      <c r="K144">
        <f t="shared" si="2"/>
        <v>29</v>
      </c>
      <c r="L144" s="4">
        <f t="shared" si="3"/>
        <v>33.425000060276943</v>
      </c>
      <c r="M144" s="3">
        <f t="shared" si="7"/>
        <v>84.05931370640387</v>
      </c>
      <c r="N144" s="3">
        <f t="shared" si="8"/>
        <v>78.053531380971251</v>
      </c>
      <c r="O144" s="5">
        <f t="shared" si="9"/>
        <v>124.93069550477709</v>
      </c>
      <c r="P144" s="5">
        <f t="shared" si="10"/>
        <v>217.55467367519822</v>
      </c>
      <c r="Q144" s="4">
        <f t="shared" si="11"/>
        <v>7.0192523385433248E-2</v>
      </c>
      <c r="R144" s="4">
        <f t="shared" si="12"/>
        <v>4991.4730228789113</v>
      </c>
      <c r="S144" s="4">
        <f t="shared" si="13"/>
        <v>1331.9901702556476</v>
      </c>
    </row>
    <row r="145" spans="1:19" hidden="1" x14ac:dyDescent="0.25">
      <c r="A145" s="26" t="s">
        <v>97</v>
      </c>
      <c r="B145">
        <f>VLOOKUP(A145,Planets[],COLUMN(Planets[Radius]),FALSE)</f>
        <v>700</v>
      </c>
      <c r="C145" s="26">
        <v>30800</v>
      </c>
      <c r="D145" s="26">
        <v>15877.998390373397</v>
      </c>
      <c r="E145" s="8">
        <f>SQRT(2*VLOOKUP(A145,Planets[],COLUMN(Planets[GM, km3/s2]),FALSE)*(((D145+B145)/(C145+B145))/(C145+D145+2*B145)))</f>
        <v>0.42297002207251239</v>
      </c>
      <c r="F145" s="8">
        <f>SQRT(2*VLOOKUP(A145,Planets[],COLUMN(Planets[GM, km3/s2]),FALSE)*(((C145+B145)/(D145+B145))/(C145+D145+2*B145)))</f>
        <v>0.80368904505509764</v>
      </c>
      <c r="G145" s="3">
        <f>2*PI()*SQRT(POWER((C145+D145)/2+B145,3)/VLOOKUP(A145,Planets[],COLUMN(Planets[GM, km3/s2]),FALSE))</f>
        <v>259058.25333678399</v>
      </c>
      <c r="H145" s="2">
        <f t="shared" si="6"/>
        <v>0</v>
      </c>
      <c r="I145">
        <f t="shared" si="0"/>
        <v>11</v>
      </c>
      <c r="J145">
        <f t="shared" si="1"/>
        <v>5</v>
      </c>
      <c r="K145">
        <f t="shared" si="2"/>
        <v>57</v>
      </c>
      <c r="L145" s="4">
        <f t="shared" si="3"/>
        <v>38.253336783993291</v>
      </c>
      <c r="M145" s="3">
        <f t="shared" si="7"/>
        <v>88.726655638592405</v>
      </c>
      <c r="N145" s="3">
        <f t="shared" si="8"/>
        <v>87.452681817429607</v>
      </c>
      <c r="O145" s="5">
        <f t="shared" si="9"/>
        <v>31492.221261765579</v>
      </c>
      <c r="P145" s="5">
        <f t="shared" si="10"/>
        <v>54559.600438419635</v>
      </c>
      <c r="Q145" s="4">
        <f t="shared" si="11"/>
        <v>0.17290354715953526</v>
      </c>
      <c r="R145" s="4">
        <f t="shared" si="12"/>
        <v>3310.1997278445428</v>
      </c>
      <c r="S145" s="4">
        <f t="shared" si="13"/>
        <v>1742.4853025528528</v>
      </c>
    </row>
    <row r="146" spans="1:19" hidden="1" x14ac:dyDescent="0.25">
      <c r="A146" s="26" t="s">
        <v>106</v>
      </c>
      <c r="B146">
        <f>VLOOKUP(A146,Planets[],COLUMN(Planets[Radius]),FALSE)</f>
        <v>138</v>
      </c>
      <c r="C146" s="26">
        <v>200</v>
      </c>
      <c r="D146" s="26">
        <v>200</v>
      </c>
      <c r="E146" s="8">
        <f>SQRT(2*VLOOKUP(A146,Planets[],COLUMN(Planets[GM, km3/s2]),FALSE)*(((D146+B146)/(C146+B146))/(C146+D146+2*B146)))</f>
        <v>0.25211818046915402</v>
      </c>
      <c r="F146" s="8">
        <f>SQRT(2*VLOOKUP(A146,Planets[],COLUMN(Planets[GM, km3/s2]),FALSE)*(((C146+B146)/(D146+B146))/(C146+D146+2*B146)))</f>
        <v>0.25211818046915402</v>
      </c>
      <c r="G146" s="3">
        <f>2*PI()*SQRT(POWER((C146+D146)/2+B146,3)/VLOOKUP(A146,Planets[],COLUMN(Planets[GM, km3/s2]),FALSE))</f>
        <v>8423.4965914587465</v>
      </c>
      <c r="H146" s="2">
        <f t="shared" si="6"/>
        <v>0</v>
      </c>
      <c r="I146">
        <f t="shared" si="0"/>
        <v>0</v>
      </c>
      <c r="J146">
        <f t="shared" si="1"/>
        <v>2</v>
      </c>
      <c r="K146">
        <f t="shared" si="2"/>
        <v>20</v>
      </c>
      <c r="L146" s="4">
        <f>MOD(G146,60)</f>
        <v>23.496591458746479</v>
      </c>
      <c r="M146" s="3">
        <f t="shared" si="7"/>
        <v>65.90291465575109</v>
      </c>
      <c r="N146" s="3">
        <f t="shared" si="8"/>
        <v>35.257296792460011</v>
      </c>
      <c r="O146" s="5">
        <f t="shared" si="9"/>
        <v>308.54497241083027</v>
      </c>
      <c r="P146" s="5">
        <f t="shared" si="10"/>
        <v>585.43317295828047</v>
      </c>
      <c r="Q146" s="4">
        <f t="shared" si="11"/>
        <v>13.174072406835762</v>
      </c>
      <c r="R146" s="4">
        <f t="shared" si="12"/>
        <v>1127.6762014520623</v>
      </c>
      <c r="S146" s="4">
        <f t="shared" si="13"/>
        <v>1127.6762014520623</v>
      </c>
    </row>
    <row r="147" spans="1:19" hidden="1" x14ac:dyDescent="0.25">
      <c r="A147" s="26" t="s">
        <v>384</v>
      </c>
      <c r="B147">
        <f>VLOOKUP(A147,Planets[],COLUMN(Planets[Radius]),FALSE)</f>
        <v>6371</v>
      </c>
      <c r="C147" s="26">
        <v>35793.172364551618</v>
      </c>
      <c r="D147" s="26">
        <f>C147</f>
        <v>35793.172364551618</v>
      </c>
      <c r="E147" s="8">
        <f>SQRT(2*VLOOKUP(A147,Planets[],COLUMN(Planets[GM, km3/s2]),FALSE)*(((D147+B147)/(C147+B147))/(C147+D147+2*B147)))</f>
        <v>3.0746599995976278</v>
      </c>
      <c r="F147" s="8">
        <f>SQRT(2*VLOOKUP(A147,Planets[],COLUMN(Planets[GM, km3/s2]),FALSE)*(((C147+B147)/(D147+B147))/(C147+D147+2*B147)))</f>
        <v>3.0746599995976278</v>
      </c>
      <c r="G147" s="3">
        <f>2*PI()*SQRT(POWER((C147+D147)/2+B147,3)/VLOOKUP(A147,Planets[],COLUMN(Planets[GM, km3/s2]),FALSE))</f>
        <v>86164.098900368917</v>
      </c>
      <c r="H147" s="2">
        <f t="shared" si="6"/>
        <v>0</v>
      </c>
      <c r="I147">
        <f t="shared" si="0"/>
        <v>3</v>
      </c>
      <c r="J147">
        <f t="shared" si="1"/>
        <v>5</v>
      </c>
      <c r="K147">
        <f t="shared" si="2"/>
        <v>56</v>
      </c>
      <c r="L147" s="4">
        <f>MOD(G147,60)</f>
        <v>4.0989003689173842</v>
      </c>
      <c r="M147" s="3">
        <f t="shared" si="7"/>
        <v>81.309330319230341</v>
      </c>
      <c r="N147" s="3">
        <f t="shared" si="8"/>
        <v>72.410230126187784</v>
      </c>
      <c r="O147" s="5">
        <f t="shared" si="9"/>
        <v>41680.064661509561</v>
      </c>
      <c r="P147" s="5">
        <f t="shared" si="10"/>
        <v>73030.488794494959</v>
      </c>
      <c r="Q147" s="4">
        <f t="shared" si="11"/>
        <v>73.998209962691362</v>
      </c>
      <c r="R147" s="4">
        <f t="shared" si="12"/>
        <v>4160.131788245968</v>
      </c>
      <c r="S147" s="4">
        <f t="shared" si="13"/>
        <v>4160.131788245968</v>
      </c>
    </row>
    <row r="148" spans="1:19" x14ac:dyDescent="0.25">
      <c r="A148" s="26" t="s">
        <v>419</v>
      </c>
      <c r="B148">
        <f>VLOOKUP(A148,Planets[],COLUMN(Planets[Radius]),FALSE)</f>
        <v>1600</v>
      </c>
      <c r="C148" s="35">
        <v>8969.1493397241156</v>
      </c>
      <c r="D148" s="35">
        <f>C148</f>
        <v>8969.1493397241156</v>
      </c>
      <c r="E148" s="8">
        <f>SQRT(2*VLOOKUP(A148,Planets[],COLUMN(Planets[GM, km3/s2]),FALSE)*(((D148+B148)/(C148+B148))/(C148+D148+2*B148)))</f>
        <v>1.541466606147311</v>
      </c>
      <c r="F148" s="8">
        <f>SQRT(2*VLOOKUP(A148,Planets[],COLUMN(Planets[GM, km3/s2]),FALSE)*(((C148+B148)/(D148+B148))/(C148+D148+2*B148)))</f>
        <v>1.541466606147311</v>
      </c>
      <c r="G148" s="5">
        <f>2*PI()*SQRT(POWER((C148+D148)/2+B148,3)/VLOOKUP(A148,Planets[],COLUMN(Planets[GM, km3/s2]),FALSE))</f>
        <v>43081.000636607423</v>
      </c>
      <c r="H148" s="2">
        <f>INT(G148/9201600)</f>
        <v>0</v>
      </c>
      <c r="I148">
        <f>INT(G148/IF(Antennas!M3=1,21600,43200))</f>
        <v>0</v>
      </c>
      <c r="J148">
        <f>INT((G148-I148*IF(Antennas!M3=1,21600,43200))/3600)</f>
        <v>11</v>
      </c>
      <c r="K148">
        <f>INT((G148-I148*IF(Antennas!M3=1,21600,43200)-J148*3600)/60)</f>
        <v>58</v>
      </c>
      <c r="L148" s="4">
        <f t="shared" ref="L148" si="14">MOD(G148,60)</f>
        <v>1.0006366074230755</v>
      </c>
      <c r="M148" s="3">
        <f>90-ASIN(B148/(B148+C148))*180/PI()</f>
        <v>81.292860668653461</v>
      </c>
      <c r="N148" s="3">
        <f>ACOS(B148/(B148+C148)/COS(PI()/A$130))*180/PI()</f>
        <v>72.376069459568285</v>
      </c>
      <c r="O148" s="5">
        <f>SQRT(2*B148*C148+C148*C148)</f>
        <v>10447.34022444903</v>
      </c>
      <c r="P148" s="5">
        <f>2*(B148+C148)*SIN(PI()/A$130)</f>
        <v>18306.303649185218</v>
      </c>
      <c r="Q148" s="4">
        <f>B148/COS(ASIN(B148/(B148+C148)))-B148</f>
        <v>18.654947599393836</v>
      </c>
      <c r="R148" s="4">
        <f t="shared" si="12"/>
        <v>2083.9570837598317</v>
      </c>
      <c r="S148" s="4">
        <f t="shared" si="13"/>
        <v>2083.9570837598317</v>
      </c>
    </row>
    <row r="149" spans="1:19" x14ac:dyDescent="0.25">
      <c r="A149" s="26" t="s">
        <v>419</v>
      </c>
      <c r="B149">
        <f>VLOOKUP(A149,Planets[],COLUMN(Planets[Radius]),FALSE)</f>
        <v>1600</v>
      </c>
      <c r="C149" s="35">
        <v>2602.0900054182334</v>
      </c>
      <c r="D149" s="35">
        <f>C149</f>
        <v>2602.0900054182334</v>
      </c>
      <c r="E149" s="8">
        <f>SQRT(2*VLOOKUP(A149,Planets[],COLUMN(Planets[GM, km3/s2]),FALSE)*(((D149+B149)/(C149+B149))/(C149+D149+2*B149)))</f>
        <v>2.4446768656747877</v>
      </c>
      <c r="F149" s="8">
        <f>SQRT(2*VLOOKUP(A149,Planets[],COLUMN(Planets[GM, km3/s2]),FALSE)*(((C149+B149)/(D149+B149))/(C149+D149+2*B149)))</f>
        <v>2.4446768656747877</v>
      </c>
      <c r="G149" s="5">
        <f>2*PI()*SQRT(POWER((C149+D149)/2+B149,3)/VLOOKUP(A149,Planets[],COLUMN(Planets[GM, km3/s2]),FALSE))</f>
        <v>10800.000013172425</v>
      </c>
      <c r="H149" s="2">
        <f>INT(G149/9201600)</f>
        <v>0</v>
      </c>
      <c r="I149">
        <f>INT(G149/IF(Antennas!M4=1,21600,43200))</f>
        <v>0</v>
      </c>
      <c r="J149">
        <f>INT((G149-I149*IF(Antennas!M4=1,21600,43200))/3600)</f>
        <v>3</v>
      </c>
      <c r="K149">
        <f>INT((G149-I149*IF(Antennas!M4=1,21600,43200)-J149*3600)/60)</f>
        <v>0</v>
      </c>
      <c r="L149" s="4">
        <f t="shared" ref="L149" si="15">MOD(G149,60)</f>
        <v>1.3172424587537535E-5</v>
      </c>
      <c r="M149" s="3">
        <f>90-ASIN(B149/(B149+C149))*180/PI()</f>
        <v>67.619053210475414</v>
      </c>
      <c r="N149" s="3">
        <f>ACOS(B149/(B149+C149)/COS(PI()/A$130))*180/PI()</f>
        <v>40.40110470418179</v>
      </c>
      <c r="O149" s="5">
        <f>SQRT(2*B149*C149+C149*C149)</f>
        <v>3885.5579282306176</v>
      </c>
      <c r="P149" s="5">
        <f>2*(B149+C149)*SIN(PI()/A$130)</f>
        <v>7278.2333873617581</v>
      </c>
      <c r="Q149" s="4">
        <f>B149/COS(ASIN(B149/(B149+C149)))-B149</f>
        <v>130.34198250412146</v>
      </c>
      <c r="R149" s="4">
        <f t="shared" ref="R149" si="16">2*(B149+C149)*ASIN(B149/(B149+C149))/E149</f>
        <v>1342.8568090093165</v>
      </c>
      <c r="S149" s="4">
        <f t="shared" ref="S149" si="17">2*(B149+D149)*ASIN(B149/(B149+D149))/F149</f>
        <v>1342.8568090093165</v>
      </c>
    </row>
    <row r="150" spans="1:19" x14ac:dyDescent="0.25">
      <c r="A150" s="26" t="s">
        <v>419</v>
      </c>
      <c r="B150">
        <f>VLOOKUP(A150,Planets[],COLUMN(Planets[Radius]),FALSE)</f>
        <v>1600</v>
      </c>
      <c r="C150" s="35">
        <v>2602</v>
      </c>
      <c r="D150" s="35">
        <v>90</v>
      </c>
      <c r="E150" s="8">
        <f>SQRT(2*VLOOKUP(A150,Planets[],COLUMN(Planets[GM, km3/s2]),FALSE)*(((D150+B150)/(C150+B150))/(C150+D150+2*B150)))</f>
        <v>1.8516252521133425</v>
      </c>
      <c r="F150" s="8">
        <f>SQRT(2*VLOOKUP(A150,Planets[],COLUMN(Planets[GM, km3/s2]),FALSE)*(((C150+B150)/(D150+B150))/(C150+D150+2*B150)))</f>
        <v>4.6038634966747134</v>
      </c>
      <c r="G150" s="5">
        <f>2*PI()*SQRT(POWER((C150+D150)/2+B150,3)/VLOOKUP(A150,Planets[],COLUMN(Planets[GM, km3/s2]),FALSE))</f>
        <v>6339.7895863651875</v>
      </c>
      <c r="H150" s="2">
        <f>INT(G150/9201600)</f>
        <v>0</v>
      </c>
      <c r="I150">
        <f>INT(G150/IF(Antennas!M5=1,21600,43200))</f>
        <v>0</v>
      </c>
      <c r="J150">
        <f>INT((G150-I150*IF(Antennas!M5=1,21600,43200))/3600)</f>
        <v>1</v>
      </c>
      <c r="K150">
        <f>INT((G150-I150*IF(Antennas!M5=1,21600,43200)-J150*3600)/60)</f>
        <v>45</v>
      </c>
      <c r="L150" s="4">
        <f t="shared" ref="L150" si="18">MOD(G150,60)</f>
        <v>39.789586365187461</v>
      </c>
      <c r="M150" s="3">
        <f>90-ASIN(B150/(B150+C150))*180/PI()</f>
        <v>67.618547848429699</v>
      </c>
      <c r="N150" s="3">
        <f>ACOS(B150/(B150+C150)/COS(PI()/A$130))*180/PI()</f>
        <v>40.399662718021787</v>
      </c>
      <c r="O150" s="5">
        <f>SQRT(2*B150*C150+C150*C150)</f>
        <v>3885.4605904577129</v>
      </c>
      <c r="P150" s="5">
        <f>2*(B150+C150)*SIN(PI()/A$130)</f>
        <v>7278.0774934044221</v>
      </c>
      <c r="Q150" s="4">
        <f>B150/COS(ASIN(B150/(B150+C150)))-B150</f>
        <v>130.34826720710521</v>
      </c>
      <c r="R150" s="4">
        <f t="shared" ref="R150" si="19">2*(B150+C150)*ASIN(B150/(B150+C150))/E150</f>
        <v>1772.9585294473468</v>
      </c>
      <c r="S150" s="4">
        <f t="shared" ref="S150" si="20">2*(B150+D150)*ASIN(B150/(B150+D150))/F150</f>
        <v>912.54878648748172</v>
      </c>
    </row>
    <row r="151" spans="1:19" x14ac:dyDescent="0.25">
      <c r="A151" s="26"/>
      <c r="C151" s="26"/>
      <c r="D151" s="26"/>
      <c r="E151" s="8"/>
      <c r="F151" s="8"/>
      <c r="G151" s="3"/>
      <c r="H151" s="2"/>
      <c r="L151" s="4"/>
      <c r="M151" s="3"/>
      <c r="N151" s="3"/>
      <c r="Q151" s="4"/>
      <c r="R151" s="4"/>
      <c r="S151" s="4"/>
    </row>
    <row r="184" spans="1:5" x14ac:dyDescent="0.25">
      <c r="A184" t="s">
        <v>259</v>
      </c>
      <c r="B184" t="s">
        <v>260</v>
      </c>
      <c r="C184" t="s">
        <v>261</v>
      </c>
      <c r="D184" t="s">
        <v>262</v>
      </c>
      <c r="E184" t="s">
        <v>263</v>
      </c>
    </row>
    <row r="185" spans="1:5" x14ac:dyDescent="0.25">
      <c r="A185" t="s">
        <v>264</v>
      </c>
      <c r="B185">
        <v>4</v>
      </c>
      <c r="C185">
        <v>250</v>
      </c>
      <c r="D185">
        <v>5</v>
      </c>
      <c r="E185">
        <v>500</v>
      </c>
    </row>
  </sheetData>
  <mergeCells count="2">
    <mergeCell ref="U129:Z129"/>
    <mergeCell ref="R129:S129"/>
  </mergeCells>
  <dataValidations count="3">
    <dataValidation type="list" allowBlank="1" showInputMessage="1" showErrorMessage="1" sqref="A131:A151">
      <formula1>INDIRECT("Planets[Planet]")</formula1>
    </dataValidation>
    <dataValidation type="whole" operator="greaterThanOrEqual" allowBlank="1" showInputMessage="1" showErrorMessage="1" error="Допускается целое число &gt;=3" sqref="A130">
      <formula1>3</formula1>
    </dataValidation>
    <dataValidation type="list" allowBlank="1" showInputMessage="1" showErrorMessage="1" sqref="U131">
      <formula1>INDIRECT("ScanSat[Scanner]")</formula1>
    </dataValidation>
  </dataValidations>
  <pageMargins left="0.7" right="0.7" top="0.75" bottom="0.75" header="0.3" footer="0.3"/>
  <pageSetup paperSize="9" orientation="portrait" r:id="rId1"/>
  <drawing r:id="rId2"/>
  <legacyDrawing r:id="rId3"/>
  <tableParts count="2"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9" sqref="B19"/>
    </sheetView>
  </sheetViews>
  <sheetFormatPr defaultRowHeight="15" x14ac:dyDescent="0.25"/>
  <cols>
    <col min="1" max="1" width="26" customWidth="1"/>
    <col min="2" max="2" width="9.7109375" customWidth="1"/>
    <col min="3" max="3" width="22.85546875" customWidth="1"/>
    <col min="4" max="4" width="7.42578125" customWidth="1"/>
    <col min="5" max="5" width="9.42578125" customWidth="1"/>
    <col min="6" max="6" width="8.85546875" customWidth="1"/>
    <col min="7" max="7" width="19.85546875" customWidth="1"/>
    <col min="8" max="8" width="8.28515625" customWidth="1"/>
    <col min="9" max="9" width="8.5703125" customWidth="1"/>
    <col min="10" max="10" width="9.140625" customWidth="1"/>
    <col min="11" max="11" width="7.7109375" customWidth="1"/>
    <col min="12" max="12" width="8" customWidth="1"/>
    <col min="13" max="13" width="9.28515625" customWidth="1"/>
    <col min="14" max="14" width="9" customWidth="1"/>
    <col min="15" max="15" width="8.85546875" bestFit="1" customWidth="1"/>
    <col min="16" max="16" width="16" bestFit="1" customWidth="1"/>
  </cols>
  <sheetData>
    <row r="1" spans="1:14" ht="38.25" x14ac:dyDescent="0.25">
      <c r="A1" s="65" t="s">
        <v>250</v>
      </c>
      <c r="B1" s="65"/>
      <c r="C1" s="65" t="s">
        <v>332</v>
      </c>
      <c r="D1" s="71" t="s">
        <v>333</v>
      </c>
      <c r="E1" s="71" t="s">
        <v>331</v>
      </c>
      <c r="F1" s="71" t="s">
        <v>344</v>
      </c>
      <c r="G1" s="65" t="s">
        <v>309</v>
      </c>
      <c r="H1" s="71" t="s">
        <v>334</v>
      </c>
      <c r="I1" s="71" t="s">
        <v>336</v>
      </c>
      <c r="J1" s="71" t="s">
        <v>337</v>
      </c>
      <c r="K1" s="71" t="s">
        <v>338</v>
      </c>
      <c r="L1" s="71" t="s">
        <v>339</v>
      </c>
      <c r="M1" s="71" t="s">
        <v>343</v>
      </c>
      <c r="N1" s="71" t="s">
        <v>172</v>
      </c>
    </row>
    <row r="2" spans="1:14" x14ac:dyDescent="0.25">
      <c r="A2" s="6" t="s">
        <v>279</v>
      </c>
      <c r="C2" s="73" t="s">
        <v>277</v>
      </c>
      <c r="D2" s="66">
        <v>1</v>
      </c>
      <c r="E2" s="70">
        <f>D$19*D2*(1-VLOOKUP(C2,Recyclers[],COLUMN(Recyclers[RecyclePercent]),FALSE))</f>
        <v>21.6</v>
      </c>
      <c r="F2">
        <f>CEILING(D2/VLOOKUP(C2,Recyclers[],COLUMN(Recyclers[CrewCapacity]),FALSE),1)</f>
        <v>1</v>
      </c>
      <c r="G2" s="72" t="s">
        <v>284</v>
      </c>
      <c r="H2" s="66">
        <v>10</v>
      </c>
      <c r="I2">
        <f>3600*B$19*H2*VLOOKUP(G2,Greenhouses[],COLUMN(Greenhouses[Supplies+]),FALSE)</f>
        <v>57.024000000000001</v>
      </c>
      <c r="J2">
        <f>3600*B$19*H2*VLOOKUP(G2,Greenhouses[],COLUMN(Greenhouses[Fertilizer-]),FALSE)</f>
        <v>5.1840000000000002</v>
      </c>
      <c r="K2">
        <f>H2*VLOOKUP(G2,Greenhouses[],COLUMN(Greenhouses[Supplies]),FALSE)</f>
        <v>500</v>
      </c>
      <c r="L2">
        <f>H2*VLOOKUP(G2,Greenhouses[],COLUMN(Greenhouses[Fertilizer]),FALSE)</f>
        <v>500</v>
      </c>
      <c r="M2">
        <f>F2*VLOOKUP(C2,Recyclers[],COLUMN(Recyclers[EC-]),FALSE)+H2*VLOOKUP(G2,Greenhouses[],COLUMN(Greenhouses[EC-]),FALSE)</f>
        <v>2.6</v>
      </c>
    </row>
    <row r="3" spans="1:14" x14ac:dyDescent="0.25">
      <c r="A3" s="32" t="s">
        <v>340</v>
      </c>
      <c r="B3" s="69">
        <v>500</v>
      </c>
      <c r="C3" s="73" t="s">
        <v>319</v>
      </c>
      <c r="D3" s="66">
        <v>6</v>
      </c>
      <c r="E3" s="70">
        <f>D$19*D3*(1-VLOOKUP(C3,Recyclers[],COLUMN(Recyclers[RecyclePercent]),FALSE))</f>
        <v>51.840000000000011</v>
      </c>
      <c r="F3">
        <f>CEILING(D3/VLOOKUP(C3,Recyclers[],COLUMN(Recyclers[CrewCapacity]),FALSE),1)</f>
        <v>6</v>
      </c>
      <c r="G3" s="72" t="s">
        <v>282</v>
      </c>
      <c r="H3" s="66">
        <v>0</v>
      </c>
      <c r="I3">
        <f>3600*B$19*H3*VLOOKUP(G3,Greenhouses[],COLUMN(Greenhouses[Supplies+]),FALSE)</f>
        <v>0</v>
      </c>
      <c r="J3">
        <f>3600*B$19*H3*VLOOKUP(G3,Greenhouses[],COLUMN(Greenhouses[Fertilizer-]),FALSE)</f>
        <v>0</v>
      </c>
      <c r="K3">
        <f>H3*VLOOKUP(G3,Greenhouses[],COLUMN(Greenhouses[Supplies]),FALSE)</f>
        <v>0</v>
      </c>
      <c r="L3">
        <f>H3*VLOOKUP(G3,Greenhouses[],COLUMN(Greenhouses[Fertilizer]),FALSE)</f>
        <v>0</v>
      </c>
      <c r="M3">
        <f>F3*VLOOKUP(C3,Recyclers[],COLUMN(Recyclers[EC-]),FALSE)+H3*VLOOKUP(G3,Greenhouses[],COLUMN(Greenhouses[EC-]),FALSE)</f>
        <v>3</v>
      </c>
      <c r="N3" s="7">
        <f>IF(OR(H5&lt;1,J5=0),B3,(E5-I5)*B4/J5)</f>
        <v>506.66666666666697</v>
      </c>
    </row>
    <row r="4" spans="1:14" x14ac:dyDescent="0.25">
      <c r="A4" s="32" t="s">
        <v>341</v>
      </c>
      <c r="B4" s="69">
        <v>160</v>
      </c>
      <c r="C4" s="73" t="s">
        <v>320</v>
      </c>
      <c r="D4" s="66">
        <v>0</v>
      </c>
      <c r="E4" s="70">
        <f>D$19*D4*(1-VLOOKUP(C4,Recyclers[],COLUMN(Recyclers[RecyclePercent]),FALSE))</f>
        <v>0</v>
      </c>
      <c r="F4">
        <f>CEILING(D4/VLOOKUP(C4,Recyclers[],COLUMN(Recyclers[CrewCapacity]),FALSE),1)</f>
        <v>0</v>
      </c>
      <c r="G4" s="72" t="s">
        <v>283</v>
      </c>
      <c r="H4" s="66">
        <v>0</v>
      </c>
      <c r="I4">
        <f>3600*B$19*H4*VLOOKUP(G4,Greenhouses[],COLUMN(Greenhouses[Supplies+]),FALSE)</f>
        <v>0</v>
      </c>
      <c r="J4">
        <f>3600*B$19*H4*VLOOKUP(G4,Greenhouses[],COLUMN(Greenhouses[Fertilizer-]),FALSE)</f>
        <v>0</v>
      </c>
      <c r="K4">
        <f>H4*VLOOKUP(G4,Greenhouses[],COLUMN(Greenhouses[Supplies]),FALSE)</f>
        <v>0</v>
      </c>
      <c r="L4">
        <f>H4*VLOOKUP(G4,Greenhouses[],COLUMN(Greenhouses[Fertilizer]),FALSE)</f>
        <v>0</v>
      </c>
      <c r="M4">
        <f>F4*VLOOKUP(C4,Recyclers[],COLUMN(Recyclers[EC-]),FALSE)+H4*VLOOKUP(G4,Greenhouses[],COLUMN(Greenhouses[EC-]),FALSE)</f>
        <v>0</v>
      </c>
      <c r="N4" s="7">
        <f>IF(H5&lt;1,B4,B3/(E5-I5)*J5)</f>
        <v>157.89473684210517</v>
      </c>
    </row>
    <row r="5" spans="1:14" s="6" customFormat="1" x14ac:dyDescent="0.25">
      <c r="A5" s="6" t="s">
        <v>281</v>
      </c>
      <c r="B5" s="7">
        <f>IF(H5&lt;1,B4/J5/H5+B3/E5,IF(J5=0,B3/E5,IF(B3/(E5-I5)&gt;B4/J5,B4/J5+(B3-(B4/J5)*(E5-I5))/E5,B3/(E5-I5))))</f>
        <v>30.458089668615965</v>
      </c>
      <c r="D5" s="6">
        <f>SUM(D2:D4)</f>
        <v>7</v>
      </c>
      <c r="E5" s="6">
        <f>SUM(E2:E4)</f>
        <v>73.440000000000012</v>
      </c>
      <c r="F5" s="6">
        <f>SUM(F2:F4)</f>
        <v>7</v>
      </c>
      <c r="G5" s="67" t="s">
        <v>335</v>
      </c>
      <c r="H5" s="68">
        <f>IF(E5&gt;I5,1,E5/I5)</f>
        <v>1</v>
      </c>
      <c r="I5" s="6">
        <f>SUM(I2:I4)</f>
        <v>57.024000000000001</v>
      </c>
      <c r="J5" s="6">
        <f>SUM(J2:J4)</f>
        <v>5.1840000000000002</v>
      </c>
      <c r="K5" s="6">
        <f t="shared" ref="K5:L5" si="0">SUM(K2:K4)</f>
        <v>500</v>
      </c>
      <c r="L5" s="6">
        <f t="shared" si="0"/>
        <v>500</v>
      </c>
      <c r="M5" s="6">
        <f>SUM(M2:M4)+0.01*D5</f>
        <v>5.67</v>
      </c>
    </row>
    <row r="6" spans="1:14" x14ac:dyDescent="0.25">
      <c r="D6" s="32"/>
    </row>
    <row r="7" spans="1:14" x14ac:dyDescent="0.25">
      <c r="A7" s="6" t="s">
        <v>280</v>
      </c>
      <c r="C7" s="73" t="s">
        <v>277</v>
      </c>
      <c r="D7" s="66">
        <v>0</v>
      </c>
      <c r="E7" s="70">
        <f>D$19*D7*(1-VLOOKUP(C7,Recyclers[],COLUMN(Recyclers[RecyclePercent]),FALSE))</f>
        <v>0</v>
      </c>
      <c r="F7">
        <f>CEILING(D7/VLOOKUP(C7,Recyclers[],COLUMN(Recyclers[CrewCapacity]),FALSE),1)</f>
        <v>0</v>
      </c>
      <c r="G7" s="72" t="s">
        <v>284</v>
      </c>
      <c r="H7" s="66">
        <v>4</v>
      </c>
      <c r="I7">
        <f>3600*B$19*H7*VLOOKUP(G7,Greenhouses[],COLUMN(Greenhouses[Supplies+]),FALSE)</f>
        <v>22.809600000000003</v>
      </c>
      <c r="J7">
        <f>3600*B$19*H7*VLOOKUP(G7,Greenhouses[],COLUMN(Greenhouses[Fertilizer-]),FALSE)</f>
        <v>2.0735999999999999</v>
      </c>
      <c r="K7">
        <f>H7*VLOOKUP(G7,Greenhouses[],COLUMN(Greenhouses[Supplies]),FALSE)</f>
        <v>200</v>
      </c>
      <c r="L7">
        <f>H7*VLOOKUP(G7,Greenhouses[],COLUMN(Greenhouses[Fertilizer]),FALSE)</f>
        <v>200</v>
      </c>
      <c r="M7">
        <f>F7*VLOOKUP(C7,Recyclers[],COLUMN(Recyclers[EC-]),FALSE)+H7*VLOOKUP(G7,Greenhouses[],COLUMN(Greenhouses[EC-]),FALSE)</f>
        <v>1.04</v>
      </c>
    </row>
    <row r="8" spans="1:14" x14ac:dyDescent="0.25">
      <c r="A8" s="32" t="s">
        <v>340</v>
      </c>
      <c r="B8" s="69">
        <v>200</v>
      </c>
      <c r="C8" s="73" t="s">
        <v>319</v>
      </c>
      <c r="D8" s="66">
        <v>0</v>
      </c>
      <c r="E8" s="70">
        <f>D$19*D8*(1-VLOOKUP(C8,Recyclers[],COLUMN(Recyclers[RecyclePercent]),FALSE))</f>
        <v>0</v>
      </c>
      <c r="F8">
        <f>CEILING(D8/VLOOKUP(C8,Recyclers[],COLUMN(Recyclers[CrewCapacity]),FALSE),1)</f>
        <v>0</v>
      </c>
      <c r="G8" s="72" t="s">
        <v>282</v>
      </c>
      <c r="H8" s="66">
        <v>0</v>
      </c>
      <c r="I8">
        <f>3600*B$19*H8*VLOOKUP(G8,Greenhouses[],COLUMN(Greenhouses[Supplies+]),FALSE)</f>
        <v>0</v>
      </c>
      <c r="J8">
        <f>3600*B$19*H8*VLOOKUP(G8,Greenhouses[],COLUMN(Greenhouses[Fertilizer-]),FALSE)</f>
        <v>0</v>
      </c>
      <c r="K8">
        <f>H8*VLOOKUP(G8,Greenhouses[],COLUMN(Greenhouses[Supplies]),FALSE)</f>
        <v>0</v>
      </c>
      <c r="L8">
        <f>H8*VLOOKUP(G8,Greenhouses[],COLUMN(Greenhouses[Fertilizer]),FALSE)</f>
        <v>0</v>
      </c>
      <c r="M8">
        <f>F8*VLOOKUP(C8,Recyclers[],COLUMN(Recyclers[EC-]),FALSE)+H8*VLOOKUP(G8,Greenhouses[],COLUMN(Greenhouses[EC-]),FALSE)</f>
        <v>0</v>
      </c>
      <c r="N8" s="7">
        <f>IF(OR(H10&lt;1,J10=0),B8,(E10-I10)*B9/J10)</f>
        <v>200</v>
      </c>
    </row>
    <row r="9" spans="1:14" x14ac:dyDescent="0.25">
      <c r="A9" s="32" t="s">
        <v>341</v>
      </c>
      <c r="B9" s="69">
        <v>1000</v>
      </c>
      <c r="C9" s="73" t="s">
        <v>320</v>
      </c>
      <c r="D9" s="66">
        <v>2</v>
      </c>
      <c r="E9" s="70">
        <f>D$19*D9*(1-VLOOKUP(C9,Recyclers[],COLUMN(Recyclers[RecyclePercent]),FALSE))</f>
        <v>21.6</v>
      </c>
      <c r="F9">
        <f>CEILING(D9/VLOOKUP(C9,Recyclers[],COLUMN(Recyclers[CrewCapacity]),FALSE),1)</f>
        <v>1</v>
      </c>
      <c r="G9" s="72" t="s">
        <v>283</v>
      </c>
      <c r="H9" s="66">
        <v>0</v>
      </c>
      <c r="I9">
        <f>3600*B$19*H9*VLOOKUP(G9,Greenhouses[],COLUMN(Greenhouses[Supplies+]),FALSE)</f>
        <v>0</v>
      </c>
      <c r="J9">
        <f>3600*B$19*H9*VLOOKUP(G9,Greenhouses[],COLUMN(Greenhouses[Fertilizer-]),FALSE)</f>
        <v>0</v>
      </c>
      <c r="K9">
        <f>H9*VLOOKUP(G9,Greenhouses[],COLUMN(Greenhouses[Supplies]),FALSE)</f>
        <v>0</v>
      </c>
      <c r="L9">
        <f>H9*VLOOKUP(G9,Greenhouses[],COLUMN(Greenhouses[Fertilizer]),FALSE)</f>
        <v>0</v>
      </c>
      <c r="M9">
        <f>F9*VLOOKUP(C9,Recyclers[],COLUMN(Recyclers[EC-]),FALSE)+H9*VLOOKUP(G9,Greenhouses[],COLUMN(Greenhouses[EC-]),FALSE)</f>
        <v>1</v>
      </c>
      <c r="N9" s="7">
        <f>IF(H10&lt;1,B9,B8/(E10-I10)*J10)</f>
        <v>1000</v>
      </c>
    </row>
    <row r="10" spans="1:14" s="6" customFormat="1" x14ac:dyDescent="0.25">
      <c r="A10" s="6" t="s">
        <v>281</v>
      </c>
      <c r="B10" s="7">
        <f>IF(H10&lt;1,B9/J10/H10+B8/E10,IF(J10=0,B8/E10,IF(B8/(E10-I10)&gt;B9/J10,B9/J10+(B8-(B9/J10)*(E10-I10))/E10,B8/(E10-I10))))</f>
        <v>518.51851851851859</v>
      </c>
      <c r="D10" s="6">
        <f>SUM(D7:D9)</f>
        <v>2</v>
      </c>
      <c r="E10" s="6">
        <f>SUM(E7:E9)</f>
        <v>21.6</v>
      </c>
      <c r="F10" s="6">
        <f>SUM(F7:F9)</f>
        <v>1</v>
      </c>
      <c r="G10" s="67" t="s">
        <v>335</v>
      </c>
      <c r="H10" s="68">
        <f>IF(E10&gt;I10,1,E10/I10)</f>
        <v>0.94696969696969691</v>
      </c>
      <c r="I10" s="6">
        <f>SUM(I7:I9)</f>
        <v>22.809600000000003</v>
      </c>
      <c r="J10" s="6">
        <f>SUM(J7:J9)</f>
        <v>2.0735999999999999</v>
      </c>
      <c r="K10" s="6">
        <f t="shared" ref="K10" si="1">SUM(K7:K9)</f>
        <v>200</v>
      </c>
      <c r="L10" s="6">
        <f t="shared" ref="L10" si="2">SUM(L7:L9)</f>
        <v>200</v>
      </c>
      <c r="M10" s="6">
        <f>SUM(M7:M9)+0.01*D10</f>
        <v>2.06</v>
      </c>
    </row>
    <row r="11" spans="1:14" s="6" customFormat="1" x14ac:dyDescent="0.25">
      <c r="B11" s="7"/>
      <c r="G11" s="67"/>
      <c r="H11" s="68"/>
    </row>
    <row r="12" spans="1:14" x14ac:dyDescent="0.25">
      <c r="A12" s="6" t="s">
        <v>348</v>
      </c>
      <c r="C12" s="73" t="s">
        <v>277</v>
      </c>
      <c r="D12" s="66">
        <v>5</v>
      </c>
      <c r="E12" s="70">
        <f>D$19*D12*(1-VLOOKUP(C12,Recyclers[],COLUMN(Recyclers[RecyclePercent]),FALSE))</f>
        <v>108</v>
      </c>
      <c r="F12">
        <f>CEILING(D12/VLOOKUP(C12,Recyclers[],COLUMN(Recyclers[CrewCapacity]),FALSE),1)</f>
        <v>5</v>
      </c>
      <c r="G12" s="72" t="s">
        <v>284</v>
      </c>
      <c r="H12" s="66">
        <v>0</v>
      </c>
      <c r="I12">
        <f>3600*B$19*H12*VLOOKUP(G12,Greenhouses[],COLUMN(Greenhouses[Supplies+]),FALSE)</f>
        <v>0</v>
      </c>
      <c r="J12">
        <f>3600*B$19*H12*VLOOKUP(G12,Greenhouses[],COLUMN(Greenhouses[Fertilizer-]),FALSE)</f>
        <v>0</v>
      </c>
      <c r="K12">
        <f>H12*VLOOKUP(G12,Greenhouses[],COLUMN(Greenhouses[Supplies]),FALSE)</f>
        <v>0</v>
      </c>
      <c r="L12">
        <f>H12*VLOOKUP(G12,Greenhouses[],COLUMN(Greenhouses[Fertilizer]),FALSE)</f>
        <v>0</v>
      </c>
      <c r="M12">
        <f>F12*VLOOKUP(C12,Recyclers[],COLUMN(Recyclers[EC-]),FALSE)+H12*VLOOKUP(G12,Greenhouses[],COLUMN(Greenhouses[EC-]),FALSE)</f>
        <v>0</v>
      </c>
    </row>
    <row r="13" spans="1:14" x14ac:dyDescent="0.25">
      <c r="A13" s="32" t="s">
        <v>340</v>
      </c>
      <c r="B13" s="69">
        <v>0</v>
      </c>
      <c r="C13" s="73" t="s">
        <v>319</v>
      </c>
      <c r="D13" s="66">
        <v>0</v>
      </c>
      <c r="E13" s="70">
        <f>D$19*D13*(1-VLOOKUP(C13,Recyclers[],COLUMN(Recyclers[RecyclePercent]),FALSE))</f>
        <v>0</v>
      </c>
      <c r="F13">
        <f>CEILING(D13/VLOOKUP(C13,Recyclers[],COLUMN(Recyclers[CrewCapacity]),FALSE),1)</f>
        <v>0</v>
      </c>
      <c r="G13" s="72" t="s">
        <v>282</v>
      </c>
      <c r="H13" s="66">
        <v>0</v>
      </c>
      <c r="I13">
        <f>3600*B$19*H13*VLOOKUP(G13,Greenhouses[],COLUMN(Greenhouses[Supplies+]),FALSE)</f>
        <v>0</v>
      </c>
      <c r="J13">
        <f>3600*B$19*H13*VLOOKUP(G13,Greenhouses[],COLUMN(Greenhouses[Fertilizer-]),FALSE)</f>
        <v>0</v>
      </c>
      <c r="K13">
        <f>H13*VLOOKUP(G13,Greenhouses[],COLUMN(Greenhouses[Supplies]),FALSE)</f>
        <v>0</v>
      </c>
      <c r="L13">
        <f>H13*VLOOKUP(G13,Greenhouses[],COLUMN(Greenhouses[Fertilizer]),FALSE)</f>
        <v>0</v>
      </c>
      <c r="M13">
        <f>F13*VLOOKUP(C13,Recyclers[],COLUMN(Recyclers[EC-]),FALSE)+H13*VLOOKUP(G13,Greenhouses[],COLUMN(Greenhouses[EC-]),FALSE)</f>
        <v>0</v>
      </c>
      <c r="N13" s="7">
        <f>IF(OR(H15&lt;1,J15=0),B13,(E15-I15)*B14/J15)</f>
        <v>0</v>
      </c>
    </row>
    <row r="14" spans="1:14" x14ac:dyDescent="0.25">
      <c r="A14" s="32" t="s">
        <v>341</v>
      </c>
      <c r="B14" s="69">
        <v>0</v>
      </c>
      <c r="C14" s="73" t="s">
        <v>320</v>
      </c>
      <c r="D14" s="66">
        <v>0</v>
      </c>
      <c r="E14" s="70">
        <f>D$19*D14*(1-VLOOKUP(C14,Recyclers[],COLUMN(Recyclers[RecyclePercent]),FALSE))</f>
        <v>0</v>
      </c>
      <c r="F14">
        <f>CEILING(D14/VLOOKUP(C14,Recyclers[],COLUMN(Recyclers[CrewCapacity]),FALSE),1)</f>
        <v>0</v>
      </c>
      <c r="G14" s="72" t="s">
        <v>283</v>
      </c>
      <c r="H14" s="66">
        <v>0</v>
      </c>
      <c r="I14">
        <f>3600*B$19*H14*VLOOKUP(G14,Greenhouses[],COLUMN(Greenhouses[Supplies+]),FALSE)</f>
        <v>0</v>
      </c>
      <c r="J14">
        <f>3600*B$19*H14*VLOOKUP(G14,Greenhouses[],COLUMN(Greenhouses[Fertilizer-]),FALSE)</f>
        <v>0</v>
      </c>
      <c r="K14">
        <f>H14*VLOOKUP(G14,Greenhouses[],COLUMN(Greenhouses[Supplies]),FALSE)</f>
        <v>0</v>
      </c>
      <c r="L14">
        <f>H14*VLOOKUP(G14,Greenhouses[],COLUMN(Greenhouses[Fertilizer]),FALSE)</f>
        <v>0</v>
      </c>
      <c r="M14">
        <f>F14*VLOOKUP(C14,Recyclers[],COLUMN(Recyclers[EC-]),FALSE)+H14*VLOOKUP(G14,Greenhouses[],COLUMN(Greenhouses[EC-]),FALSE)</f>
        <v>0</v>
      </c>
      <c r="N14" s="7">
        <f>IF(H15&lt;1,B14,B13/(E15-I15)*J15)</f>
        <v>0</v>
      </c>
    </row>
    <row r="15" spans="1:14" s="6" customFormat="1" x14ac:dyDescent="0.25">
      <c r="A15" s="6" t="s">
        <v>281</v>
      </c>
      <c r="B15" s="7">
        <f>IF(H15&lt;1,B14/J15/H15+B13/E15,IF(J15=0,B13/E15,IF(B13/(E15-I15)&gt;B14/J15,B14/J15+(B13-(B14/J15)*(E15-I15))/E15,B13/(E15-I15))))</f>
        <v>0</v>
      </c>
      <c r="D15" s="6">
        <f>SUM(D12:D14)</f>
        <v>5</v>
      </c>
      <c r="E15" s="6">
        <f>SUM(E12:E14)</f>
        <v>108</v>
      </c>
      <c r="F15" s="6">
        <f>SUM(F12:F14)</f>
        <v>5</v>
      </c>
      <c r="G15" s="67" t="s">
        <v>335</v>
      </c>
      <c r="H15" s="68">
        <f>IF(E15&gt;I15,1,E15/I15)</f>
        <v>1</v>
      </c>
      <c r="I15" s="6">
        <f>SUM(I12:I14)</f>
        <v>0</v>
      </c>
      <c r="J15" s="6">
        <f>SUM(J12:J14)</f>
        <v>0</v>
      </c>
      <c r="K15" s="6">
        <f t="shared" ref="K15:L15" si="3">SUM(K12:K14)</f>
        <v>0</v>
      </c>
      <c r="L15" s="6">
        <f t="shared" si="3"/>
        <v>0</v>
      </c>
      <c r="M15" s="6">
        <f>SUM(M12:M14)+0.01*D15</f>
        <v>0.05</v>
      </c>
    </row>
    <row r="16" spans="1:14" x14ac:dyDescent="0.25">
      <c r="D16" s="32"/>
    </row>
    <row r="17" spans="1:16" x14ac:dyDescent="0.25">
      <c r="D17" s="32"/>
    </row>
    <row r="18" spans="1:16" x14ac:dyDescent="0.25">
      <c r="D18" s="32"/>
    </row>
    <row r="19" spans="1:16" x14ac:dyDescent="0.25">
      <c r="A19" s="6" t="s">
        <v>458</v>
      </c>
      <c r="B19" s="30">
        <v>12</v>
      </c>
      <c r="C19" s="6" t="s">
        <v>459</v>
      </c>
      <c r="D19" s="6">
        <f>0.0005*3600*B19</f>
        <v>21.6</v>
      </c>
      <c r="G19" s="6" t="s">
        <v>536</v>
      </c>
      <c r="H19" s="6">
        <v>2.5000000000000001E-3</v>
      </c>
      <c r="I19" s="6" t="s">
        <v>537</v>
      </c>
    </row>
    <row r="20" spans="1:16" x14ac:dyDescent="0.25">
      <c r="D20" s="32"/>
    </row>
    <row r="21" spans="1:16" x14ac:dyDescent="0.25">
      <c r="A21" t="s">
        <v>276</v>
      </c>
      <c r="B21" t="s">
        <v>288</v>
      </c>
      <c r="C21" t="s">
        <v>289</v>
      </c>
      <c r="D21" t="s">
        <v>290</v>
      </c>
      <c r="E21" t="s">
        <v>291</v>
      </c>
      <c r="F21" t="s">
        <v>292</v>
      </c>
      <c r="G21" t="s">
        <v>293</v>
      </c>
      <c r="H21" t="s">
        <v>294</v>
      </c>
      <c r="I21" t="s">
        <v>256</v>
      </c>
      <c r="J21" t="s">
        <v>304</v>
      </c>
      <c r="K21" t="s">
        <v>305</v>
      </c>
      <c r="L21" t="s">
        <v>306</v>
      </c>
      <c r="M21" t="s">
        <v>313</v>
      </c>
      <c r="N21" t="s">
        <v>314</v>
      </c>
      <c r="O21" t="s">
        <v>278</v>
      </c>
      <c r="P21" t="s">
        <v>315</v>
      </c>
    </row>
    <row r="22" spans="1:16" x14ac:dyDescent="0.25">
      <c r="A22" t="s">
        <v>284</v>
      </c>
      <c r="B22">
        <v>1.2E-4</v>
      </c>
      <c r="C22">
        <v>1.2E-5</v>
      </c>
      <c r="D22">
        <v>1.3200000000000001E-4</v>
      </c>
      <c r="E22">
        <v>0.26</v>
      </c>
      <c r="I22" t="s">
        <v>285</v>
      </c>
      <c r="M22">
        <v>50</v>
      </c>
      <c r="N22">
        <v>50</v>
      </c>
      <c r="O22">
        <v>50</v>
      </c>
      <c r="P22">
        <v>100</v>
      </c>
    </row>
    <row r="23" spans="1:16" x14ac:dyDescent="0.25">
      <c r="A23" t="s">
        <v>282</v>
      </c>
      <c r="B23">
        <v>5.9999999999999995E-4</v>
      </c>
      <c r="C23">
        <v>6.0000000000000002E-5</v>
      </c>
      <c r="D23">
        <v>6.6E-4</v>
      </c>
      <c r="E23">
        <v>1.32</v>
      </c>
      <c r="I23" t="s">
        <v>285</v>
      </c>
      <c r="M23">
        <v>100</v>
      </c>
      <c r="N23">
        <v>100</v>
      </c>
      <c r="O23">
        <v>100</v>
      </c>
      <c r="P23">
        <v>200</v>
      </c>
    </row>
    <row r="24" spans="1:16" x14ac:dyDescent="0.25">
      <c r="A24" t="s">
        <v>283</v>
      </c>
      <c r="B24">
        <v>1.1999999999999999E-3</v>
      </c>
      <c r="C24">
        <v>1.2E-4</v>
      </c>
      <c r="D24">
        <v>1.32E-3</v>
      </c>
      <c r="E24">
        <v>2.64</v>
      </c>
      <c r="I24" t="s">
        <v>285</v>
      </c>
      <c r="M24">
        <v>300</v>
      </c>
      <c r="N24">
        <v>300</v>
      </c>
      <c r="O24">
        <v>300</v>
      </c>
      <c r="P24">
        <v>600</v>
      </c>
    </row>
    <row r="25" spans="1:16" hidden="1" x14ac:dyDescent="0.25">
      <c r="A25" t="s">
        <v>286</v>
      </c>
      <c r="B25">
        <v>1.2999999999999999E-3</v>
      </c>
      <c r="C25">
        <v>1.2999999999999999E-4</v>
      </c>
      <c r="D25">
        <v>1.4300000000000001E-3</v>
      </c>
      <c r="E25">
        <v>2.86</v>
      </c>
      <c r="F25">
        <v>1.9999999999999999E-6</v>
      </c>
      <c r="G25">
        <v>1.9999999999999999E-6</v>
      </c>
      <c r="H25">
        <v>100</v>
      </c>
      <c r="I25" t="s">
        <v>287</v>
      </c>
      <c r="J25" t="s">
        <v>307</v>
      </c>
      <c r="K25" t="s">
        <v>308</v>
      </c>
      <c r="L25" t="s">
        <v>309</v>
      </c>
      <c r="P25">
        <v>1000</v>
      </c>
    </row>
    <row r="26" spans="1:16" hidden="1" x14ac:dyDescent="0.25">
      <c r="A26" t="s">
        <v>310</v>
      </c>
      <c r="B26">
        <v>5.0699999999999999E-3</v>
      </c>
      <c r="C26">
        <v>5.0699999999999996E-4</v>
      </c>
      <c r="D26">
        <v>5.5770000000000004E-3</v>
      </c>
      <c r="E26">
        <v>11.154</v>
      </c>
      <c r="F26">
        <v>1.0000000000000001E-5</v>
      </c>
      <c r="G26">
        <v>1.0000000000000001E-5</v>
      </c>
      <c r="H26">
        <v>500</v>
      </c>
      <c r="I26" t="s">
        <v>287</v>
      </c>
      <c r="J26" t="s">
        <v>307</v>
      </c>
      <c r="K26" t="s">
        <v>308</v>
      </c>
      <c r="M26">
        <v>250</v>
      </c>
      <c r="N26">
        <v>100</v>
      </c>
      <c r="O26">
        <v>100</v>
      </c>
    </row>
    <row r="27" spans="1:16" hidden="1" x14ac:dyDescent="0.25">
      <c r="A27" t="s">
        <v>311</v>
      </c>
      <c r="B27">
        <v>2.0999999999999999E-3</v>
      </c>
      <c r="C27">
        <v>2.1000000000000001E-4</v>
      </c>
      <c r="D27">
        <v>2.31E-3</v>
      </c>
      <c r="E27">
        <v>4.62</v>
      </c>
      <c r="F27">
        <v>1.9999999999999999E-6</v>
      </c>
      <c r="G27">
        <v>1.9999999999999999E-6</v>
      </c>
      <c r="H27">
        <v>100</v>
      </c>
      <c r="I27" t="s">
        <v>287</v>
      </c>
      <c r="J27" t="s">
        <v>307</v>
      </c>
      <c r="K27" t="s">
        <v>308</v>
      </c>
      <c r="L27" t="s">
        <v>309</v>
      </c>
      <c r="P27">
        <v>1000</v>
      </c>
    </row>
    <row r="28" spans="1:16" hidden="1" x14ac:dyDescent="0.25">
      <c r="A28" t="s">
        <v>312</v>
      </c>
      <c r="B28">
        <v>3.7499999999999999E-3</v>
      </c>
      <c r="C28">
        <v>3.7500000000000001E-4</v>
      </c>
      <c r="D28">
        <v>4.1250000000000002E-3</v>
      </c>
      <c r="E28">
        <v>8.25</v>
      </c>
      <c r="F28">
        <v>7.9999999999999996E-6</v>
      </c>
      <c r="G28">
        <v>7.9999999999999996E-6</v>
      </c>
      <c r="H28">
        <v>400</v>
      </c>
      <c r="I28" t="s">
        <v>287</v>
      </c>
      <c r="J28" t="s">
        <v>307</v>
      </c>
      <c r="K28" t="s">
        <v>308</v>
      </c>
      <c r="L28" t="s">
        <v>309</v>
      </c>
      <c r="P28">
        <v>1000</v>
      </c>
    </row>
    <row r="29" spans="1:16" x14ac:dyDescent="0.25">
      <c r="A29" t="s">
        <v>545</v>
      </c>
      <c r="B29">
        <v>1.5E-3</v>
      </c>
      <c r="C29">
        <v>1.4999999999999999E-4</v>
      </c>
      <c r="D29">
        <v>1.65E-3</v>
      </c>
      <c r="E29">
        <v>3.3</v>
      </c>
      <c r="I29" t="s">
        <v>538</v>
      </c>
      <c r="M29">
        <v>300</v>
      </c>
      <c r="N29">
        <v>300</v>
      </c>
      <c r="O29">
        <v>300</v>
      </c>
      <c r="P29">
        <v>600</v>
      </c>
    </row>
    <row r="30" spans="1:16" x14ac:dyDescent="0.25">
      <c r="A30" t="s">
        <v>546</v>
      </c>
      <c r="B30">
        <v>2.5000000000000001E-3</v>
      </c>
      <c r="C30">
        <v>2.5000000000000001E-4</v>
      </c>
      <c r="D30">
        <v>2.7499999999999998E-3</v>
      </c>
      <c r="E30">
        <v>5.25</v>
      </c>
      <c r="I30" t="s">
        <v>538</v>
      </c>
      <c r="M30">
        <v>500</v>
      </c>
      <c r="N30">
        <v>500</v>
      </c>
      <c r="O30">
        <v>500</v>
      </c>
      <c r="P30">
        <v>1000</v>
      </c>
    </row>
    <row r="35" spans="1:9" x14ac:dyDescent="0.25">
      <c r="A35" t="s">
        <v>276</v>
      </c>
      <c r="B35" t="s">
        <v>316</v>
      </c>
      <c r="C35" t="s">
        <v>317</v>
      </c>
      <c r="D35" t="s">
        <v>325</v>
      </c>
      <c r="E35" t="s">
        <v>291</v>
      </c>
      <c r="F35" t="s">
        <v>292</v>
      </c>
      <c r="G35" t="s">
        <v>293</v>
      </c>
      <c r="H35" t="s">
        <v>342</v>
      </c>
      <c r="I35" t="s">
        <v>256</v>
      </c>
    </row>
    <row r="36" spans="1:9" x14ac:dyDescent="0.25">
      <c r="A36" t="s">
        <v>277</v>
      </c>
      <c r="B36">
        <v>0</v>
      </c>
      <c r="C36">
        <v>1</v>
      </c>
      <c r="E36">
        <v>0</v>
      </c>
      <c r="I36" t="s">
        <v>285</v>
      </c>
    </row>
    <row r="37" spans="1:9" x14ac:dyDescent="0.25">
      <c r="A37" t="s">
        <v>320</v>
      </c>
      <c r="B37">
        <v>0.5</v>
      </c>
      <c r="C37">
        <v>4</v>
      </c>
      <c r="E37">
        <v>1</v>
      </c>
      <c r="I37" t="s">
        <v>285</v>
      </c>
    </row>
    <row r="38" spans="1:9" x14ac:dyDescent="0.25">
      <c r="A38" t="s">
        <v>319</v>
      </c>
      <c r="B38">
        <v>0.6</v>
      </c>
      <c r="C38">
        <v>1</v>
      </c>
      <c r="E38">
        <v>0.5</v>
      </c>
      <c r="I38" t="s">
        <v>285</v>
      </c>
    </row>
    <row r="39" spans="1:9" x14ac:dyDescent="0.25">
      <c r="A39" t="s">
        <v>318</v>
      </c>
      <c r="B39">
        <v>0.79</v>
      </c>
      <c r="C39">
        <v>3</v>
      </c>
      <c r="E39">
        <v>18.75</v>
      </c>
      <c r="I39" t="s">
        <v>285</v>
      </c>
    </row>
    <row r="40" spans="1:9" hidden="1" x14ac:dyDescent="0.25">
      <c r="A40" t="s">
        <v>321</v>
      </c>
      <c r="B40">
        <v>0.77</v>
      </c>
      <c r="C40">
        <v>4</v>
      </c>
      <c r="E40">
        <v>21</v>
      </c>
      <c r="I40" t="s">
        <v>287</v>
      </c>
    </row>
    <row r="41" spans="1:9" hidden="1" x14ac:dyDescent="0.25">
      <c r="A41" t="s">
        <v>322</v>
      </c>
      <c r="B41">
        <v>0.88500000000000001</v>
      </c>
      <c r="C41">
        <v>4</v>
      </c>
      <c r="D41">
        <v>8.8500000000000002E-3</v>
      </c>
      <c r="E41">
        <v>21</v>
      </c>
      <c r="I41" t="s">
        <v>287</v>
      </c>
    </row>
    <row r="42" spans="1:9" hidden="1" x14ac:dyDescent="0.25">
      <c r="A42" t="s">
        <v>323</v>
      </c>
      <c r="B42">
        <v>0.7</v>
      </c>
      <c r="C42">
        <v>4</v>
      </c>
      <c r="E42">
        <v>3</v>
      </c>
      <c r="F42">
        <v>7.9999999999999996E-6</v>
      </c>
      <c r="G42">
        <v>7.9999999999999996E-6</v>
      </c>
      <c r="H42">
        <v>400</v>
      </c>
      <c r="I42" t="s">
        <v>287</v>
      </c>
    </row>
    <row r="43" spans="1:9" hidden="1" x14ac:dyDescent="0.25">
      <c r="A43" t="s">
        <v>324</v>
      </c>
      <c r="B43">
        <v>0.25</v>
      </c>
      <c r="C43">
        <v>2</v>
      </c>
      <c r="E43">
        <v>1</v>
      </c>
      <c r="I43" t="s">
        <v>287</v>
      </c>
    </row>
    <row r="44" spans="1:9" hidden="1" x14ac:dyDescent="0.25">
      <c r="A44" t="s">
        <v>326</v>
      </c>
      <c r="B44">
        <v>0.81</v>
      </c>
      <c r="C44">
        <v>4</v>
      </c>
      <c r="E44">
        <v>37</v>
      </c>
      <c r="I44" t="s">
        <v>287</v>
      </c>
    </row>
    <row r="45" spans="1:9" hidden="1" x14ac:dyDescent="0.25">
      <c r="A45" t="s">
        <v>327</v>
      </c>
      <c r="B45">
        <v>0.90500000000000003</v>
      </c>
      <c r="C45">
        <v>4</v>
      </c>
      <c r="D45">
        <v>9.0500000000000008E-3</v>
      </c>
      <c r="E45">
        <v>37</v>
      </c>
      <c r="I45" t="s">
        <v>287</v>
      </c>
    </row>
    <row r="46" spans="1:9" hidden="1" x14ac:dyDescent="0.25">
      <c r="A46" t="s">
        <v>328</v>
      </c>
      <c r="B46">
        <v>0.86499999999999999</v>
      </c>
      <c r="C46">
        <v>4</v>
      </c>
      <c r="E46">
        <v>138</v>
      </c>
      <c r="I46" t="s">
        <v>287</v>
      </c>
    </row>
    <row r="47" spans="1:9" hidden="1" x14ac:dyDescent="0.25">
      <c r="A47" t="s">
        <v>329</v>
      </c>
      <c r="B47">
        <v>0.9325</v>
      </c>
      <c r="C47">
        <v>4</v>
      </c>
      <c r="D47">
        <v>9.325E-3</v>
      </c>
      <c r="E47">
        <v>138</v>
      </c>
      <c r="I47" t="s">
        <v>287</v>
      </c>
    </row>
    <row r="48" spans="1:9" hidden="1" x14ac:dyDescent="0.25">
      <c r="A48" t="s">
        <v>330</v>
      </c>
      <c r="B48">
        <v>0.7</v>
      </c>
      <c r="C48">
        <v>4</v>
      </c>
      <c r="E48">
        <v>3</v>
      </c>
      <c r="F48">
        <v>7.9999999999999996E-6</v>
      </c>
      <c r="G48">
        <v>7.9999999999999996E-6</v>
      </c>
      <c r="H48">
        <v>400</v>
      </c>
      <c r="I48" t="s">
        <v>287</v>
      </c>
    </row>
    <row r="49" spans="1:9" x14ac:dyDescent="0.25">
      <c r="A49" t="s">
        <v>539</v>
      </c>
      <c r="B49">
        <v>0.25</v>
      </c>
      <c r="C49">
        <v>2</v>
      </c>
      <c r="E49">
        <v>1</v>
      </c>
      <c r="I49" t="s">
        <v>538</v>
      </c>
    </row>
    <row r="50" spans="1:9" x14ac:dyDescent="0.25">
      <c r="A50" t="s">
        <v>540</v>
      </c>
      <c r="B50">
        <v>0.25</v>
      </c>
      <c r="C50">
        <v>4</v>
      </c>
      <c r="E50">
        <v>1</v>
      </c>
      <c r="I50" t="s">
        <v>538</v>
      </c>
    </row>
    <row r="51" spans="1:9" x14ac:dyDescent="0.25">
      <c r="A51" t="s">
        <v>541</v>
      </c>
      <c r="B51">
        <v>0.25</v>
      </c>
      <c r="C51">
        <v>5</v>
      </c>
      <c r="E51">
        <v>1</v>
      </c>
      <c r="I51" t="s">
        <v>538</v>
      </c>
    </row>
    <row r="52" spans="1:9" x14ac:dyDescent="0.25">
      <c r="A52" t="s">
        <v>542</v>
      </c>
      <c r="B52">
        <v>0.5</v>
      </c>
      <c r="C52">
        <v>2</v>
      </c>
      <c r="E52">
        <v>0.5</v>
      </c>
      <c r="I52" t="s">
        <v>538</v>
      </c>
    </row>
    <row r="53" spans="1:9" x14ac:dyDescent="0.25">
      <c r="A53" t="s">
        <v>543</v>
      </c>
      <c r="B53">
        <v>0.5</v>
      </c>
      <c r="C53">
        <v>6</v>
      </c>
      <c r="E53">
        <v>1.5</v>
      </c>
      <c r="I53" t="s">
        <v>538</v>
      </c>
    </row>
    <row r="54" spans="1:9" x14ac:dyDescent="0.25">
      <c r="A54" t="s">
        <v>544</v>
      </c>
      <c r="B54">
        <v>0.81</v>
      </c>
      <c r="C54">
        <v>4</v>
      </c>
      <c r="E54">
        <v>36.25</v>
      </c>
      <c r="I54" t="s">
        <v>538</v>
      </c>
    </row>
    <row r="55" spans="1:9" x14ac:dyDescent="0.25">
      <c r="A55" t="s">
        <v>545</v>
      </c>
      <c r="B55">
        <v>0.7</v>
      </c>
      <c r="C55">
        <v>2</v>
      </c>
      <c r="E55">
        <v>3.5</v>
      </c>
      <c r="I55" t="s">
        <v>538</v>
      </c>
    </row>
    <row r="56" spans="1:9" x14ac:dyDescent="0.25">
      <c r="A56" t="s">
        <v>546</v>
      </c>
      <c r="B56">
        <v>0.7</v>
      </c>
      <c r="C56">
        <v>3</v>
      </c>
      <c r="E56">
        <v>5.25</v>
      </c>
      <c r="I56" t="s">
        <v>538</v>
      </c>
    </row>
  </sheetData>
  <dataValidations disablePrompts="1" count="2">
    <dataValidation type="list" allowBlank="1" showInputMessage="1" showErrorMessage="1" sqref="C2:C4 C7:C9 C12:C14">
      <formula1>INDIRECT("Recyclers[Module]")</formula1>
    </dataValidation>
    <dataValidation type="list" allowBlank="1" showInputMessage="1" showErrorMessage="1" sqref="G2:G4 G7:G9 G12:G14">
      <formula1>INDIRECT("Greenhouses[Module]")</formula1>
    </dataValidation>
  </dataValidations>
  <pageMargins left="0.7" right="0.7" top="0.75" bottom="0.75" header="0.3" footer="0.3"/>
  <ignoredErrors>
    <ignoredError sqref="M5 M10" formula="1"/>
  </ignoredErrors>
  <legacyDrawing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workbookViewId="0">
      <pane xSplit="2" ySplit="1" topLeftCell="H2" activePane="bottomRight" state="frozen"/>
      <selection pane="topRight" activeCell="C1" sqref="C1"/>
      <selection pane="bottomLeft" activeCell="A2" sqref="A2"/>
      <selection pane="bottomRight" activeCell="U9" sqref="U9"/>
    </sheetView>
  </sheetViews>
  <sheetFormatPr defaultRowHeight="15" x14ac:dyDescent="0.25"/>
  <cols>
    <col min="2" max="2" width="16.140625" customWidth="1"/>
    <col min="4" max="4" width="10.5703125" customWidth="1"/>
    <col min="6" max="6" width="14" customWidth="1"/>
    <col min="7" max="7" width="10.28515625" customWidth="1"/>
    <col min="8" max="8" width="11" customWidth="1"/>
    <col min="9" max="9" width="11.85546875" customWidth="1"/>
    <col min="10" max="10" width="13.5703125" customWidth="1"/>
    <col min="11" max="11" width="10.85546875" customWidth="1"/>
    <col min="12" max="12" width="13.140625" customWidth="1"/>
    <col min="13" max="13" width="10.5703125" customWidth="1"/>
    <col min="14" max="14" width="10.42578125" customWidth="1"/>
    <col min="15" max="15" width="13.85546875" customWidth="1"/>
    <col min="16" max="16" width="11.5703125" customWidth="1"/>
    <col min="17" max="17" width="11" customWidth="1"/>
    <col min="21" max="21" width="11.42578125" customWidth="1"/>
    <col min="23" max="23" width="11.140625" customWidth="1"/>
  </cols>
  <sheetData>
    <row r="1" spans="1:23" x14ac:dyDescent="0.25">
      <c r="A1" t="s">
        <v>349</v>
      </c>
      <c r="B1" t="s">
        <v>350</v>
      </c>
      <c r="C1" t="s">
        <v>351</v>
      </c>
      <c r="D1" s="74" t="s">
        <v>362</v>
      </c>
      <c r="E1" t="s">
        <v>352</v>
      </c>
      <c r="F1" t="s">
        <v>356</v>
      </c>
      <c r="G1" t="s">
        <v>353</v>
      </c>
      <c r="H1" s="74" t="s">
        <v>354</v>
      </c>
      <c r="I1" t="s">
        <v>355</v>
      </c>
      <c r="J1" t="s">
        <v>363</v>
      </c>
      <c r="K1" t="s">
        <v>364</v>
      </c>
      <c r="L1" t="s">
        <v>357</v>
      </c>
      <c r="M1" s="74" t="s">
        <v>358</v>
      </c>
      <c r="N1" s="74" t="s">
        <v>359</v>
      </c>
      <c r="O1" s="74" t="s">
        <v>360</v>
      </c>
      <c r="P1" t="s">
        <v>372</v>
      </c>
      <c r="Q1" s="74" t="s">
        <v>361</v>
      </c>
      <c r="R1" s="74" t="s">
        <v>365</v>
      </c>
      <c r="S1" s="74" t="s">
        <v>366</v>
      </c>
      <c r="T1" s="74" t="s">
        <v>376</v>
      </c>
      <c r="U1" s="74" t="s">
        <v>367</v>
      </c>
      <c r="V1" s="74" t="s">
        <v>368</v>
      </c>
      <c r="W1" s="74" t="s">
        <v>369</v>
      </c>
    </row>
    <row r="2" spans="1:23" x14ac:dyDescent="0.25">
      <c r="A2" t="s">
        <v>101</v>
      </c>
      <c r="B2" t="s">
        <v>370</v>
      </c>
      <c r="C2">
        <v>4.0199999999999996</v>
      </c>
      <c r="D2">
        <v>8.4700000000000006</v>
      </c>
      <c r="E2">
        <v>14.35</v>
      </c>
      <c r="F2">
        <v>0</v>
      </c>
      <c r="G2">
        <v>0</v>
      </c>
      <c r="H2">
        <v>7.51</v>
      </c>
      <c r="I2">
        <v>0.98419999999999996</v>
      </c>
      <c r="J2">
        <v>1.98</v>
      </c>
      <c r="K2">
        <v>2.76</v>
      </c>
      <c r="L2">
        <v>3.9</v>
      </c>
      <c r="M2">
        <v>0.40039999999999998</v>
      </c>
      <c r="N2">
        <v>2.85</v>
      </c>
      <c r="O2">
        <v>0</v>
      </c>
      <c r="P2">
        <v>0</v>
      </c>
      <c r="Q2">
        <v>0.81659999999999999</v>
      </c>
      <c r="R2">
        <v>0</v>
      </c>
      <c r="S2">
        <v>0</v>
      </c>
      <c r="U2">
        <v>0</v>
      </c>
      <c r="V2">
        <v>3.5</v>
      </c>
      <c r="W2">
        <v>1.42</v>
      </c>
    </row>
    <row r="3" spans="1:23" x14ac:dyDescent="0.25">
      <c r="A3" t="s">
        <v>101</v>
      </c>
      <c r="B3" t="s">
        <v>374</v>
      </c>
      <c r="C3">
        <v>4.04</v>
      </c>
      <c r="D3">
        <v>0</v>
      </c>
      <c r="E3">
        <v>14.2</v>
      </c>
      <c r="F3">
        <v>0</v>
      </c>
      <c r="G3">
        <v>4.8600000000000003</v>
      </c>
      <c r="H3">
        <v>1.18</v>
      </c>
      <c r="I3">
        <v>0.99350000000000005</v>
      </c>
      <c r="J3">
        <v>0</v>
      </c>
      <c r="K3">
        <v>0.40079999999999999</v>
      </c>
      <c r="L3">
        <v>3.74</v>
      </c>
      <c r="M3">
        <v>0.3034</v>
      </c>
      <c r="N3">
        <v>7.84</v>
      </c>
      <c r="O3">
        <v>0</v>
      </c>
      <c r="P3">
        <v>0.75219999999999998</v>
      </c>
      <c r="Q3">
        <v>0</v>
      </c>
      <c r="R3">
        <v>3.6</v>
      </c>
      <c r="S3">
        <v>0</v>
      </c>
      <c r="U3">
        <v>8.61</v>
      </c>
      <c r="V3">
        <v>8.48</v>
      </c>
      <c r="W3">
        <v>3.92</v>
      </c>
    </row>
    <row r="4" spans="1:23" x14ac:dyDescent="0.25">
      <c r="A4" t="s">
        <v>101</v>
      </c>
      <c r="B4" t="s">
        <v>375</v>
      </c>
      <c r="C4">
        <v>7.26</v>
      </c>
      <c r="D4">
        <v>0</v>
      </c>
      <c r="E4">
        <v>22.41</v>
      </c>
      <c r="F4">
        <v>0</v>
      </c>
      <c r="G4">
        <v>1.89</v>
      </c>
      <c r="H4">
        <v>6.42</v>
      </c>
      <c r="I4">
        <v>0.98850000000000005</v>
      </c>
      <c r="J4">
        <v>0</v>
      </c>
      <c r="K4">
        <v>3.16</v>
      </c>
      <c r="L4">
        <v>0</v>
      </c>
      <c r="M4">
        <v>0.1116</v>
      </c>
      <c r="N4">
        <v>1.93</v>
      </c>
      <c r="O4">
        <v>0</v>
      </c>
      <c r="P4">
        <v>2.84</v>
      </c>
      <c r="Q4">
        <v>1.3</v>
      </c>
      <c r="R4">
        <v>0</v>
      </c>
      <c r="S4">
        <v>0</v>
      </c>
      <c r="T4">
        <v>0.95099999999999996</v>
      </c>
      <c r="U4">
        <v>0.3831</v>
      </c>
      <c r="V4">
        <v>4.3600000000000003</v>
      </c>
      <c r="W4">
        <v>0.98099999999999998</v>
      </c>
    </row>
    <row r="5" spans="1:23" x14ac:dyDescent="0.25">
      <c r="A5" t="s">
        <v>101</v>
      </c>
      <c r="B5" t="s">
        <v>377</v>
      </c>
      <c r="C5">
        <v>1.36</v>
      </c>
      <c r="D5">
        <v>0</v>
      </c>
      <c r="E5">
        <v>19.920000000000002</v>
      </c>
      <c r="F5">
        <v>0</v>
      </c>
      <c r="G5">
        <v>1.1299999999999999</v>
      </c>
      <c r="H5">
        <v>4.8099999999999996</v>
      </c>
      <c r="I5">
        <v>1.02</v>
      </c>
      <c r="J5">
        <v>0</v>
      </c>
      <c r="K5">
        <v>3.85</v>
      </c>
      <c r="L5">
        <v>1.89</v>
      </c>
      <c r="M5">
        <v>0.126</v>
      </c>
      <c r="N5">
        <v>0.71760000000000002</v>
      </c>
      <c r="O5">
        <v>0</v>
      </c>
      <c r="P5">
        <v>2.2599999999999998</v>
      </c>
      <c r="Q5">
        <v>0</v>
      </c>
      <c r="R5">
        <v>0</v>
      </c>
      <c r="S5">
        <v>0</v>
      </c>
      <c r="T5">
        <v>0</v>
      </c>
      <c r="U5">
        <v>2.92</v>
      </c>
      <c r="V5">
        <v>39.85</v>
      </c>
      <c r="W5">
        <v>0.34660000000000002</v>
      </c>
    </row>
    <row r="6" spans="1:23" x14ac:dyDescent="0.25">
      <c r="A6" t="s">
        <v>102</v>
      </c>
      <c r="B6" t="s">
        <v>371</v>
      </c>
      <c r="C6">
        <v>0</v>
      </c>
      <c r="D6">
        <v>0</v>
      </c>
      <c r="E6">
        <v>10.68</v>
      </c>
      <c r="F6">
        <v>0</v>
      </c>
      <c r="G6">
        <v>0</v>
      </c>
      <c r="H6">
        <v>0.32229999999999998</v>
      </c>
      <c r="I6">
        <v>0</v>
      </c>
      <c r="J6">
        <v>0</v>
      </c>
      <c r="K6">
        <v>0</v>
      </c>
      <c r="L6">
        <v>0</v>
      </c>
      <c r="M6">
        <v>5.85</v>
      </c>
      <c r="N6">
        <v>11.31</v>
      </c>
      <c r="O6">
        <v>5.88</v>
      </c>
      <c r="P6">
        <v>0</v>
      </c>
      <c r="Q6">
        <v>0</v>
      </c>
      <c r="R6">
        <v>0</v>
      </c>
      <c r="S6">
        <v>0</v>
      </c>
      <c r="U6">
        <v>3.12</v>
      </c>
      <c r="V6">
        <v>0</v>
      </c>
      <c r="W6">
        <v>0</v>
      </c>
    </row>
    <row r="7" spans="1:23" x14ac:dyDescent="0.25">
      <c r="A7" t="s">
        <v>102</v>
      </c>
      <c r="B7" t="s">
        <v>373</v>
      </c>
      <c r="C7">
        <v>2.7</v>
      </c>
      <c r="D7">
        <v>0</v>
      </c>
      <c r="E7">
        <v>0</v>
      </c>
      <c r="F7">
        <v>0</v>
      </c>
      <c r="G7">
        <v>4.99</v>
      </c>
      <c r="H7">
        <v>0</v>
      </c>
      <c r="I7">
        <v>4.55</v>
      </c>
      <c r="J7">
        <v>0.79949999999999999</v>
      </c>
      <c r="K7">
        <v>1.81</v>
      </c>
      <c r="L7">
        <v>4.41</v>
      </c>
      <c r="M7">
        <v>0</v>
      </c>
      <c r="N7">
        <v>0</v>
      </c>
      <c r="O7">
        <v>0</v>
      </c>
      <c r="P7">
        <v>4.6100000000000003</v>
      </c>
      <c r="Q7">
        <v>1.95</v>
      </c>
      <c r="R7">
        <v>0</v>
      </c>
      <c r="S7">
        <v>0.59909999999999997</v>
      </c>
      <c r="U7">
        <v>0</v>
      </c>
      <c r="V7">
        <v>0</v>
      </c>
      <c r="W7">
        <v>0</v>
      </c>
    </row>
    <row r="8" spans="1:23" x14ac:dyDescent="0.25">
      <c r="A8" t="s">
        <v>102</v>
      </c>
      <c r="B8" t="s">
        <v>378</v>
      </c>
      <c r="C8">
        <v>0</v>
      </c>
      <c r="D8">
        <v>0</v>
      </c>
      <c r="E8">
        <v>0</v>
      </c>
      <c r="F8">
        <v>0</v>
      </c>
      <c r="G8">
        <v>4.6100000000000003</v>
      </c>
      <c r="H8">
        <v>0.4229</v>
      </c>
      <c r="I8">
        <v>4.8499999999999996</v>
      </c>
      <c r="J8">
        <v>0.43540000000000001</v>
      </c>
      <c r="K8">
        <v>2.2799999999999998</v>
      </c>
      <c r="L8">
        <v>4.0599999999999996</v>
      </c>
      <c r="M8">
        <v>24.43</v>
      </c>
      <c r="N8">
        <v>3.15</v>
      </c>
      <c r="O8">
        <v>4.5</v>
      </c>
      <c r="P8">
        <v>0</v>
      </c>
      <c r="Q8">
        <v>0</v>
      </c>
      <c r="R8">
        <v>0.97199999999999998</v>
      </c>
      <c r="S8">
        <v>0</v>
      </c>
      <c r="T8">
        <v>0</v>
      </c>
      <c r="U8">
        <v>0</v>
      </c>
      <c r="V8">
        <v>0</v>
      </c>
      <c r="W8">
        <v>0</v>
      </c>
    </row>
    <row r="9" spans="1:23" x14ac:dyDescent="0.25">
      <c r="A9" t="s">
        <v>103</v>
      </c>
      <c r="B9" t="s">
        <v>370</v>
      </c>
      <c r="C9">
        <v>0</v>
      </c>
      <c r="D9">
        <v>0</v>
      </c>
      <c r="E9">
        <v>0</v>
      </c>
      <c r="F9">
        <v>0</v>
      </c>
      <c r="G9">
        <v>0</v>
      </c>
      <c r="H9">
        <v>2.4500000000000001E-2</v>
      </c>
      <c r="I9">
        <v>2.46</v>
      </c>
      <c r="J9">
        <v>0</v>
      </c>
      <c r="K9">
        <v>4.1399999999999997</v>
      </c>
      <c r="L9">
        <v>4.54</v>
      </c>
      <c r="M9">
        <v>4.38</v>
      </c>
      <c r="N9">
        <v>0</v>
      </c>
      <c r="O9">
        <v>0</v>
      </c>
      <c r="P9">
        <v>0</v>
      </c>
      <c r="Q9">
        <v>4.99</v>
      </c>
      <c r="R9">
        <v>2.3199999999999998</v>
      </c>
      <c r="S9">
        <v>2.2799999999999998</v>
      </c>
      <c r="T9">
        <v>0</v>
      </c>
      <c r="U9">
        <v>1.01</v>
      </c>
      <c r="V9">
        <v>0</v>
      </c>
      <c r="W9">
        <v>0</v>
      </c>
    </row>
    <row r="10" spans="1:23" x14ac:dyDescent="0.25">
      <c r="A10" t="s">
        <v>103</v>
      </c>
      <c r="B10" t="s">
        <v>379</v>
      </c>
      <c r="C10">
        <v>0</v>
      </c>
      <c r="D10">
        <v>2.88</v>
      </c>
      <c r="E10">
        <v>17.059999999999999</v>
      </c>
      <c r="F10">
        <v>0</v>
      </c>
      <c r="G10">
        <v>2.15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9.94</v>
      </c>
      <c r="V10">
        <v>0</v>
      </c>
      <c r="W10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Spacecrafts</vt:lpstr>
      <vt:lpstr>Engines</vt:lpstr>
      <vt:lpstr>Antennas</vt:lpstr>
      <vt:lpstr>Orbits</vt:lpstr>
      <vt:lpstr>LifeSupport</vt:lpstr>
      <vt:lpstr>Resources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Драгунов Дмитрий</dc:creator>
  <cp:lastModifiedBy>Драгунов Дмитрий</cp:lastModifiedBy>
  <dcterms:created xsi:type="dcterms:W3CDTF">2015-06-19T06:25:23Z</dcterms:created>
  <dcterms:modified xsi:type="dcterms:W3CDTF">2020-02-17T22:32:43Z</dcterms:modified>
</cp:coreProperties>
</file>